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FA05C4AC-51A5-4082-B396-64CBE11C250C}" xr6:coauthVersionLast="47" xr6:coauthVersionMax="47" xr10:uidLastSave="{00000000-0000-0000-0000-000000000000}"/>
  <bookViews>
    <workbookView xWindow="1560" yWindow="1560" windowWidth="21600" windowHeight="11385" xr2:uid="{2F1F00F3-3B9F-4CAF-B497-3DAE3745CB8D}"/>
  </bookViews>
  <sheets>
    <sheet name="A2" sheetId="1" r:id="rId1"/>
  </sheets>
  <externalReferences>
    <externalReference r:id="rId2"/>
  </externalReferences>
  <definedNames>
    <definedName name="_xlnm.Database">#REF!</definedName>
    <definedName name="_xlnm.Print_Area" localSheetId="0">'A2'!$A$1:$K$393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9" i="1" l="1"/>
  <c r="J319" i="1"/>
  <c r="H320" i="1"/>
  <c r="J320" i="1"/>
  <c r="H321" i="1"/>
  <c r="J321" i="1"/>
  <c r="H322" i="1"/>
  <c r="J322" i="1"/>
  <c r="J387" i="1"/>
  <c r="J386" i="1"/>
  <c r="J385" i="1"/>
  <c r="J384" i="1"/>
  <c r="J383" i="1"/>
  <c r="K382" i="1"/>
  <c r="I382" i="1"/>
  <c r="H382" i="1"/>
  <c r="G382" i="1"/>
  <c r="F382" i="1"/>
  <c r="E382" i="1"/>
  <c r="D382" i="1"/>
  <c r="H381" i="1"/>
  <c r="J381" i="1" s="1"/>
  <c r="D381" i="1"/>
  <c r="C381" i="1"/>
  <c r="J380" i="1"/>
  <c r="H380" i="1"/>
  <c r="H379" i="1" s="1"/>
  <c r="K379" i="1"/>
  <c r="I379" i="1"/>
  <c r="G379" i="1"/>
  <c r="F379" i="1"/>
  <c r="E379" i="1"/>
  <c r="D379" i="1"/>
  <c r="J378" i="1"/>
  <c r="H378" i="1"/>
  <c r="F378" i="1"/>
  <c r="C378" i="1"/>
  <c r="K377" i="1"/>
  <c r="K128" i="1" s="1"/>
  <c r="I377" i="1"/>
  <c r="I128" i="1" s="1"/>
  <c r="G377" i="1"/>
  <c r="H377" i="1" s="1"/>
  <c r="F377" i="1"/>
  <c r="F128" i="1" s="1"/>
  <c r="E377" i="1"/>
  <c r="E128" i="1" s="1"/>
  <c r="K376" i="1"/>
  <c r="I376" i="1"/>
  <c r="I127" i="1" s="1"/>
  <c r="G376" i="1"/>
  <c r="G127" i="1" s="1"/>
  <c r="F376" i="1"/>
  <c r="E376" i="1"/>
  <c r="J373" i="1"/>
  <c r="H373" i="1"/>
  <c r="J372" i="1"/>
  <c r="H372" i="1"/>
  <c r="J371" i="1"/>
  <c r="H371" i="1"/>
  <c r="K370" i="1"/>
  <c r="K369" i="1" s="1"/>
  <c r="I370" i="1"/>
  <c r="I369" i="1" s="1"/>
  <c r="G370" i="1"/>
  <c r="G369" i="1" s="1"/>
  <c r="F370" i="1"/>
  <c r="F369" i="1" s="1"/>
  <c r="E370" i="1"/>
  <c r="E369" i="1" s="1"/>
  <c r="D370" i="1"/>
  <c r="D369" i="1" s="1"/>
  <c r="J368" i="1"/>
  <c r="J367" i="1"/>
  <c r="J366" i="1"/>
  <c r="K365" i="1"/>
  <c r="I365" i="1"/>
  <c r="H365" i="1"/>
  <c r="G365" i="1"/>
  <c r="F365" i="1"/>
  <c r="E365" i="1"/>
  <c r="D365" i="1"/>
  <c r="J364" i="1"/>
  <c r="J363" i="1"/>
  <c r="J362" i="1"/>
  <c r="J361" i="1"/>
  <c r="K360" i="1"/>
  <c r="K359" i="1" s="1"/>
  <c r="I360" i="1"/>
  <c r="H360" i="1"/>
  <c r="H359" i="1" s="1"/>
  <c r="G360" i="1"/>
  <c r="G359" i="1" s="1"/>
  <c r="F360" i="1"/>
  <c r="F359" i="1" s="1"/>
  <c r="E360" i="1"/>
  <c r="E359" i="1" s="1"/>
  <c r="D360" i="1"/>
  <c r="D359" i="1" s="1"/>
  <c r="I359" i="1"/>
  <c r="J357" i="1"/>
  <c r="H357" i="1"/>
  <c r="J356" i="1"/>
  <c r="H356" i="1"/>
  <c r="J355" i="1"/>
  <c r="H355" i="1"/>
  <c r="K354" i="1"/>
  <c r="K352" i="1" s="1"/>
  <c r="I354" i="1"/>
  <c r="G354" i="1"/>
  <c r="G352" i="1" s="1"/>
  <c r="F354" i="1"/>
  <c r="F352" i="1" s="1"/>
  <c r="E354" i="1"/>
  <c r="E352" i="1" s="1"/>
  <c r="D354" i="1"/>
  <c r="I353" i="1"/>
  <c r="H353" i="1"/>
  <c r="H104" i="1" s="1"/>
  <c r="D353" i="1"/>
  <c r="C353" i="1"/>
  <c r="K351" i="1"/>
  <c r="K102" i="1" s="1"/>
  <c r="I351" i="1"/>
  <c r="G351" i="1"/>
  <c r="H351" i="1" s="1"/>
  <c r="F351" i="1"/>
  <c r="D351" i="1" s="1"/>
  <c r="D102" i="1" s="1"/>
  <c r="E351" i="1"/>
  <c r="E102" i="1" s="1"/>
  <c r="J350" i="1"/>
  <c r="H350" i="1"/>
  <c r="J349" i="1"/>
  <c r="H349" i="1"/>
  <c r="D349" i="1"/>
  <c r="C349" i="1"/>
  <c r="C100" i="1" s="1"/>
  <c r="J348" i="1"/>
  <c r="K347" i="1"/>
  <c r="K346" i="1" s="1"/>
  <c r="I347" i="1"/>
  <c r="I98" i="1" s="1"/>
  <c r="G347" i="1"/>
  <c r="G346" i="1" s="1"/>
  <c r="F347" i="1"/>
  <c r="F346" i="1" s="1"/>
  <c r="E347" i="1"/>
  <c r="E346" i="1" s="1"/>
  <c r="K345" i="1"/>
  <c r="J345" i="1"/>
  <c r="I345" i="1"/>
  <c r="I343" i="1" s="1"/>
  <c r="H345" i="1"/>
  <c r="H96" i="1" s="1"/>
  <c r="G345" i="1"/>
  <c r="G343" i="1" s="1"/>
  <c r="F345" i="1"/>
  <c r="D345" i="1" s="1"/>
  <c r="D96" i="1" s="1"/>
  <c r="E345" i="1"/>
  <c r="E343" i="1" s="1"/>
  <c r="J344" i="1"/>
  <c r="H344" i="1"/>
  <c r="K340" i="1"/>
  <c r="I340" i="1"/>
  <c r="G340" i="1"/>
  <c r="H340" i="1" s="1"/>
  <c r="F340" i="1"/>
  <c r="D340" i="1" s="1"/>
  <c r="D91" i="1" s="1"/>
  <c r="D90" i="1" s="1"/>
  <c r="E340" i="1"/>
  <c r="C340" i="1" s="1"/>
  <c r="C91" i="1" s="1"/>
  <c r="C90" i="1" s="1"/>
  <c r="J339" i="1"/>
  <c r="J338" i="1"/>
  <c r="K337" i="1"/>
  <c r="I337" i="1"/>
  <c r="G337" i="1"/>
  <c r="F337" i="1"/>
  <c r="E337" i="1"/>
  <c r="D337" i="1"/>
  <c r="J336" i="1"/>
  <c r="H336" i="1"/>
  <c r="H86" i="1" s="1"/>
  <c r="C336" i="1"/>
  <c r="J335" i="1"/>
  <c r="H335" i="1"/>
  <c r="C335" i="1"/>
  <c r="J334" i="1"/>
  <c r="H334" i="1"/>
  <c r="H84" i="1" s="1"/>
  <c r="C334" i="1"/>
  <c r="J333" i="1"/>
  <c r="H333" i="1"/>
  <c r="H83" i="1" s="1"/>
  <c r="C333" i="1"/>
  <c r="J332" i="1"/>
  <c r="J331" i="1" s="1"/>
  <c r="H332" i="1"/>
  <c r="C332" i="1"/>
  <c r="K331" i="1"/>
  <c r="I331" i="1"/>
  <c r="G331" i="1"/>
  <c r="F331" i="1"/>
  <c r="E331" i="1"/>
  <c r="D331" i="1"/>
  <c r="J330" i="1"/>
  <c r="H330" i="1"/>
  <c r="H80" i="1" s="1"/>
  <c r="D330" i="1"/>
  <c r="D80" i="1" s="1"/>
  <c r="C330" i="1"/>
  <c r="K328" i="1"/>
  <c r="I328" i="1"/>
  <c r="G328" i="1"/>
  <c r="H328" i="1" s="1"/>
  <c r="F328" i="1"/>
  <c r="E328" i="1"/>
  <c r="E77" i="1" s="1"/>
  <c r="D327" i="1"/>
  <c r="I75" i="1"/>
  <c r="K323" i="1"/>
  <c r="G323" i="1"/>
  <c r="F323" i="1"/>
  <c r="E323" i="1"/>
  <c r="J318" i="1"/>
  <c r="J317" i="1"/>
  <c r="H317" i="1"/>
  <c r="K316" i="1"/>
  <c r="K313" i="1" s="1"/>
  <c r="I316" i="1"/>
  <c r="I313" i="1" s="1"/>
  <c r="G316" i="1"/>
  <c r="H316" i="1" s="1"/>
  <c r="F316" i="1"/>
  <c r="F65" i="1" s="1"/>
  <c r="E316" i="1"/>
  <c r="E313" i="1" s="1"/>
  <c r="J315" i="1"/>
  <c r="H315" i="1"/>
  <c r="H64" i="1" s="1"/>
  <c r="J314" i="1"/>
  <c r="H314" i="1"/>
  <c r="D313" i="1"/>
  <c r="H311" i="1"/>
  <c r="H310" i="1" s="1"/>
  <c r="K310" i="1"/>
  <c r="J310" i="1"/>
  <c r="I310" i="1"/>
  <c r="G310" i="1"/>
  <c r="F310" i="1"/>
  <c r="E310" i="1"/>
  <c r="J309" i="1"/>
  <c r="H309" i="1"/>
  <c r="J308" i="1"/>
  <c r="H308" i="1"/>
  <c r="J307" i="1"/>
  <c r="H307" i="1"/>
  <c r="K306" i="1"/>
  <c r="I306" i="1"/>
  <c r="G306" i="1"/>
  <c r="F306" i="1"/>
  <c r="E306" i="1"/>
  <c r="E305" i="1" s="1"/>
  <c r="D306" i="1"/>
  <c r="K304" i="1"/>
  <c r="J304" i="1"/>
  <c r="I304" i="1"/>
  <c r="H304" i="1"/>
  <c r="G304" i="1"/>
  <c r="F304" i="1"/>
  <c r="E304" i="1"/>
  <c r="K303" i="1"/>
  <c r="J303" i="1"/>
  <c r="I303" i="1"/>
  <c r="H303" i="1"/>
  <c r="G303" i="1"/>
  <c r="F303" i="1"/>
  <c r="D303" i="1" s="1"/>
  <c r="E303" i="1"/>
  <c r="C303" i="1" s="1"/>
  <c r="C52" i="1" s="1"/>
  <c r="C48" i="1"/>
  <c r="C47" i="1" s="1"/>
  <c r="K295" i="1"/>
  <c r="J295" i="1"/>
  <c r="I295" i="1"/>
  <c r="H295" i="1"/>
  <c r="G295" i="1"/>
  <c r="F295" i="1"/>
  <c r="E295" i="1"/>
  <c r="C295" i="1" s="1"/>
  <c r="K294" i="1"/>
  <c r="J294" i="1"/>
  <c r="I294" i="1"/>
  <c r="H294" i="1"/>
  <c r="G294" i="1"/>
  <c r="F294" i="1"/>
  <c r="D294" i="1" s="1"/>
  <c r="D43" i="1" s="1"/>
  <c r="E294" i="1"/>
  <c r="K292" i="1"/>
  <c r="K291" i="1"/>
  <c r="J291" i="1"/>
  <c r="I291" i="1"/>
  <c r="H291" i="1"/>
  <c r="H290" i="1" s="1"/>
  <c r="G291" i="1"/>
  <c r="G290" i="1" s="1"/>
  <c r="F291" i="1"/>
  <c r="F290" i="1" s="1"/>
  <c r="E291" i="1"/>
  <c r="C291" i="1" s="1"/>
  <c r="C40" i="1" s="1"/>
  <c r="E290" i="1"/>
  <c r="K287" i="1"/>
  <c r="K284" i="1" s="1"/>
  <c r="J287" i="1"/>
  <c r="H287" i="1"/>
  <c r="H36" i="1" s="1"/>
  <c r="F287" i="1"/>
  <c r="D287" i="1" s="1"/>
  <c r="D36" i="1" s="1"/>
  <c r="C287" i="1"/>
  <c r="C36" i="1" s="1"/>
  <c r="I286" i="1"/>
  <c r="J286" i="1" s="1"/>
  <c r="H286" i="1"/>
  <c r="D286" i="1"/>
  <c r="D35" i="1" s="1"/>
  <c r="I285" i="1"/>
  <c r="H285" i="1"/>
  <c r="D285" i="1"/>
  <c r="D34" i="1" s="1"/>
  <c r="D33" i="1" s="1"/>
  <c r="C285" i="1"/>
  <c r="C34" i="1" s="1"/>
  <c r="C33" i="1" s="1"/>
  <c r="G284" i="1"/>
  <c r="G283" i="1" s="1"/>
  <c r="E284" i="1"/>
  <c r="J282" i="1"/>
  <c r="J281" i="1" s="1"/>
  <c r="K281" i="1"/>
  <c r="I281" i="1"/>
  <c r="H281" i="1"/>
  <c r="G281" i="1"/>
  <c r="F281" i="1"/>
  <c r="E281" i="1"/>
  <c r="D281" i="1"/>
  <c r="J279" i="1"/>
  <c r="I278" i="1"/>
  <c r="J278" i="1" s="1"/>
  <c r="J21" i="1" s="1"/>
  <c r="D274" i="1"/>
  <c r="C274" i="1" s="1"/>
  <c r="J277" i="1"/>
  <c r="C277" i="1"/>
  <c r="J276" i="1"/>
  <c r="J275" i="1"/>
  <c r="J18" i="1" s="1"/>
  <c r="K274" i="1"/>
  <c r="H274" i="1"/>
  <c r="G274" i="1"/>
  <c r="F274" i="1"/>
  <c r="E274" i="1"/>
  <c r="K273" i="1"/>
  <c r="K16" i="1" s="1"/>
  <c r="K15" i="1" s="1"/>
  <c r="K14" i="1" s="1"/>
  <c r="I273" i="1"/>
  <c r="I16" i="1" s="1"/>
  <c r="I15" i="1" s="1"/>
  <c r="G273" i="1"/>
  <c r="G272" i="1" s="1"/>
  <c r="G271" i="1" s="1"/>
  <c r="F273" i="1"/>
  <c r="D273" i="1" s="1"/>
  <c r="E273" i="1"/>
  <c r="C273" i="1" s="1"/>
  <c r="J272" i="1"/>
  <c r="J271" i="1" s="1"/>
  <c r="F272" i="1"/>
  <c r="F271" i="1" s="1"/>
  <c r="J265" i="1"/>
  <c r="H265" i="1"/>
  <c r="H138" i="1" s="1"/>
  <c r="J264" i="1"/>
  <c r="H264" i="1"/>
  <c r="H137" i="1" s="1"/>
  <c r="J263" i="1"/>
  <c r="H263" i="1"/>
  <c r="H136" i="1" s="1"/>
  <c r="J262" i="1"/>
  <c r="H262" i="1"/>
  <c r="H135" i="1" s="1"/>
  <c r="J261" i="1"/>
  <c r="H261" i="1"/>
  <c r="K260" i="1"/>
  <c r="I260" i="1"/>
  <c r="G260" i="1"/>
  <c r="F260" i="1"/>
  <c r="E260" i="1"/>
  <c r="D260" i="1"/>
  <c r="J259" i="1"/>
  <c r="H259" i="1"/>
  <c r="J258" i="1"/>
  <c r="J257" i="1" s="1"/>
  <c r="H258" i="1"/>
  <c r="K257" i="1"/>
  <c r="I257" i="1"/>
  <c r="G257" i="1"/>
  <c r="F257" i="1"/>
  <c r="E257" i="1"/>
  <c r="D257" i="1"/>
  <c r="J256" i="1"/>
  <c r="H256" i="1"/>
  <c r="J255" i="1"/>
  <c r="H255" i="1"/>
  <c r="J254" i="1"/>
  <c r="K253" i="1"/>
  <c r="I253" i="1"/>
  <c r="G253" i="1"/>
  <c r="F253" i="1"/>
  <c r="E253" i="1"/>
  <c r="J251" i="1"/>
  <c r="H251" i="1"/>
  <c r="K248" i="1"/>
  <c r="K247" i="1" s="1"/>
  <c r="G248" i="1"/>
  <c r="G247" i="1" s="1"/>
  <c r="F248" i="1"/>
  <c r="F247" i="1" s="1"/>
  <c r="E248" i="1"/>
  <c r="E247" i="1" s="1"/>
  <c r="J246" i="1"/>
  <c r="J245" i="1"/>
  <c r="J244" i="1"/>
  <c r="K243" i="1"/>
  <c r="I243" i="1"/>
  <c r="H243" i="1"/>
  <c r="G243" i="1"/>
  <c r="F243" i="1"/>
  <c r="E243" i="1"/>
  <c r="J242" i="1"/>
  <c r="J241" i="1"/>
  <c r="J240" i="1"/>
  <c r="J239" i="1"/>
  <c r="K238" i="1"/>
  <c r="K237" i="1" s="1"/>
  <c r="I238" i="1"/>
  <c r="I237" i="1" s="1"/>
  <c r="H238" i="1"/>
  <c r="H237" i="1" s="1"/>
  <c r="G238" i="1"/>
  <c r="G237" i="1" s="1"/>
  <c r="F238" i="1"/>
  <c r="F237" i="1" s="1"/>
  <c r="E238" i="1"/>
  <c r="E237" i="1" s="1"/>
  <c r="J235" i="1"/>
  <c r="J234" i="1"/>
  <c r="J233" i="1"/>
  <c r="H233" i="1"/>
  <c r="H232" i="1" s="1"/>
  <c r="H230" i="1" s="1"/>
  <c r="K232" i="1"/>
  <c r="K230" i="1" s="1"/>
  <c r="I232" i="1"/>
  <c r="I230" i="1" s="1"/>
  <c r="G232" i="1"/>
  <c r="F232" i="1"/>
  <c r="F230" i="1" s="1"/>
  <c r="E232" i="1"/>
  <c r="E230" i="1" s="1"/>
  <c r="J231" i="1"/>
  <c r="J229" i="1"/>
  <c r="H229" i="1"/>
  <c r="F229" i="1"/>
  <c r="J228" i="1"/>
  <c r="J227" i="1"/>
  <c r="H227" i="1"/>
  <c r="J226" i="1"/>
  <c r="J225" i="1"/>
  <c r="H225" i="1"/>
  <c r="H224" i="1" s="1"/>
  <c r="K224" i="1"/>
  <c r="I224" i="1"/>
  <c r="G224" i="1"/>
  <c r="F224" i="1"/>
  <c r="E224" i="1"/>
  <c r="K223" i="1"/>
  <c r="J223" i="1"/>
  <c r="J222" i="1"/>
  <c r="I221" i="1"/>
  <c r="H221" i="1"/>
  <c r="G221" i="1"/>
  <c r="F221" i="1"/>
  <c r="E221" i="1"/>
  <c r="K218" i="1"/>
  <c r="I218" i="1"/>
  <c r="I91" i="1" s="1"/>
  <c r="I90" i="1" s="1"/>
  <c r="G218" i="1"/>
  <c r="H218" i="1" s="1"/>
  <c r="F218" i="1"/>
  <c r="E218" i="1"/>
  <c r="J217" i="1"/>
  <c r="K216" i="1"/>
  <c r="K215" i="1" s="1"/>
  <c r="I216" i="1"/>
  <c r="I88" i="1" s="1"/>
  <c r="G216" i="1"/>
  <c r="G215" i="1" s="1"/>
  <c r="F216" i="1"/>
  <c r="F215" i="1" s="1"/>
  <c r="E216" i="1"/>
  <c r="E88" i="1" s="1"/>
  <c r="K214" i="1"/>
  <c r="J214" i="1"/>
  <c r="J86" i="1" s="1"/>
  <c r="J212" i="1"/>
  <c r="J84" i="1" s="1"/>
  <c r="I211" i="1"/>
  <c r="J211" i="1" s="1"/>
  <c r="K210" i="1"/>
  <c r="K82" i="1" s="1"/>
  <c r="K81" i="1" s="1"/>
  <c r="I210" i="1"/>
  <c r="I209" i="1" s="1"/>
  <c r="G210" i="1"/>
  <c r="G82" i="1" s="1"/>
  <c r="G81" i="1" s="1"/>
  <c r="F210" i="1"/>
  <c r="F209" i="1" s="1"/>
  <c r="E210" i="1"/>
  <c r="E209" i="1" s="1"/>
  <c r="J208" i="1"/>
  <c r="I206" i="1"/>
  <c r="H206" i="1"/>
  <c r="J205" i="1"/>
  <c r="J204" i="1"/>
  <c r="H204" i="1"/>
  <c r="H75" i="1" s="1"/>
  <c r="J203" i="1"/>
  <c r="J202" i="1"/>
  <c r="J73" i="1" s="1"/>
  <c r="H202" i="1"/>
  <c r="K201" i="1"/>
  <c r="I201" i="1"/>
  <c r="G201" i="1"/>
  <c r="F201" i="1"/>
  <c r="E201" i="1"/>
  <c r="J200" i="1"/>
  <c r="H200" i="1"/>
  <c r="J199" i="1"/>
  <c r="J198" i="1"/>
  <c r="J197" i="1"/>
  <c r="J196" i="1"/>
  <c r="H196" i="1"/>
  <c r="H67" i="1" s="1"/>
  <c r="J195" i="1"/>
  <c r="J194" i="1"/>
  <c r="H194" i="1"/>
  <c r="J193" i="1"/>
  <c r="J192" i="1"/>
  <c r="K191" i="1"/>
  <c r="K190" i="1" s="1"/>
  <c r="I191" i="1"/>
  <c r="G191" i="1"/>
  <c r="G190" i="1" s="1"/>
  <c r="F191" i="1"/>
  <c r="E191" i="1"/>
  <c r="H189" i="1"/>
  <c r="H188" i="1" s="1"/>
  <c r="K188" i="1"/>
  <c r="I188" i="1"/>
  <c r="G188" i="1"/>
  <c r="F188" i="1"/>
  <c r="E188" i="1"/>
  <c r="J187" i="1"/>
  <c r="H187" i="1"/>
  <c r="J186" i="1"/>
  <c r="J185" i="1"/>
  <c r="K184" i="1"/>
  <c r="I184" i="1"/>
  <c r="H184" i="1"/>
  <c r="G184" i="1"/>
  <c r="F184" i="1"/>
  <c r="E184" i="1"/>
  <c r="K182" i="1"/>
  <c r="J182" i="1"/>
  <c r="I182" i="1"/>
  <c r="H182" i="1"/>
  <c r="G182" i="1"/>
  <c r="F182" i="1"/>
  <c r="F53" i="1" s="1"/>
  <c r="E182" i="1"/>
  <c r="K181" i="1"/>
  <c r="J181" i="1"/>
  <c r="I181" i="1"/>
  <c r="H181" i="1"/>
  <c r="H52" i="1" s="1"/>
  <c r="G181" i="1"/>
  <c r="F181" i="1"/>
  <c r="E181" i="1"/>
  <c r="K180" i="1"/>
  <c r="J180" i="1"/>
  <c r="I180" i="1"/>
  <c r="H180" i="1"/>
  <c r="G180" i="1"/>
  <c r="F180" i="1"/>
  <c r="E180" i="1"/>
  <c r="K179" i="1"/>
  <c r="J179" i="1"/>
  <c r="I179" i="1"/>
  <c r="H179" i="1"/>
  <c r="G179" i="1"/>
  <c r="F179" i="1"/>
  <c r="E179" i="1"/>
  <c r="K178" i="1"/>
  <c r="J178" i="1"/>
  <c r="I178" i="1"/>
  <c r="H178" i="1"/>
  <c r="G178" i="1"/>
  <c r="F178" i="1"/>
  <c r="E178" i="1"/>
  <c r="D178" i="1"/>
  <c r="K177" i="1"/>
  <c r="K48" i="1" s="1"/>
  <c r="K47" i="1" s="1"/>
  <c r="J177" i="1"/>
  <c r="I177" i="1"/>
  <c r="I48" i="1" s="1"/>
  <c r="I47" i="1" s="1"/>
  <c r="H177" i="1"/>
  <c r="H48" i="1" s="1"/>
  <c r="G177" i="1"/>
  <c r="F177" i="1"/>
  <c r="F48" i="1" s="1"/>
  <c r="F47" i="1" s="1"/>
  <c r="E177" i="1"/>
  <c r="E48" i="1" s="1"/>
  <c r="E47" i="1" s="1"/>
  <c r="K176" i="1"/>
  <c r="J176" i="1"/>
  <c r="I176" i="1"/>
  <c r="H176" i="1"/>
  <c r="G176" i="1"/>
  <c r="F176" i="1"/>
  <c r="E176" i="1"/>
  <c r="D176" i="1"/>
  <c r="K175" i="1"/>
  <c r="J175" i="1"/>
  <c r="I175" i="1"/>
  <c r="H175" i="1"/>
  <c r="G175" i="1"/>
  <c r="F175" i="1"/>
  <c r="E175" i="1"/>
  <c r="K174" i="1"/>
  <c r="J174" i="1"/>
  <c r="I174" i="1"/>
  <c r="H174" i="1"/>
  <c r="G174" i="1"/>
  <c r="F174" i="1"/>
  <c r="E174" i="1"/>
  <c r="K173" i="1"/>
  <c r="J173" i="1"/>
  <c r="I173" i="1"/>
  <c r="H173" i="1"/>
  <c r="G173" i="1"/>
  <c r="F173" i="1"/>
  <c r="E173" i="1"/>
  <c r="E44" i="1" s="1"/>
  <c r="K172" i="1"/>
  <c r="J172" i="1"/>
  <c r="I172" i="1"/>
  <c r="H172" i="1"/>
  <c r="G172" i="1"/>
  <c r="F172" i="1"/>
  <c r="E172" i="1"/>
  <c r="K171" i="1"/>
  <c r="J171" i="1"/>
  <c r="I171" i="1"/>
  <c r="H171" i="1"/>
  <c r="G171" i="1"/>
  <c r="F171" i="1"/>
  <c r="E171" i="1"/>
  <c r="K170" i="1"/>
  <c r="J170" i="1"/>
  <c r="J41" i="1" s="1"/>
  <c r="I170" i="1"/>
  <c r="H170" i="1"/>
  <c r="H41" i="1" s="1"/>
  <c r="G170" i="1"/>
  <c r="G41" i="1" s="1"/>
  <c r="F170" i="1"/>
  <c r="F41" i="1" s="1"/>
  <c r="E170" i="1"/>
  <c r="E41" i="1" s="1"/>
  <c r="K169" i="1"/>
  <c r="J169" i="1"/>
  <c r="I169" i="1"/>
  <c r="H169" i="1"/>
  <c r="G169" i="1"/>
  <c r="F169" i="1"/>
  <c r="F168" i="1" s="1"/>
  <c r="E169" i="1"/>
  <c r="J165" i="1"/>
  <c r="J164" i="1"/>
  <c r="H164" i="1"/>
  <c r="H35" i="1" s="1"/>
  <c r="I163" i="1"/>
  <c r="I162" i="1" s="1"/>
  <c r="I161" i="1" s="1"/>
  <c r="G163" i="1"/>
  <c r="F163" i="1"/>
  <c r="F162" i="1" s="1"/>
  <c r="K162" i="1"/>
  <c r="K161" i="1" s="1"/>
  <c r="E162" i="1"/>
  <c r="E161" i="1" s="1"/>
  <c r="J160" i="1"/>
  <c r="J159" i="1" s="1"/>
  <c r="K159" i="1"/>
  <c r="I159" i="1"/>
  <c r="H159" i="1"/>
  <c r="G159" i="1"/>
  <c r="F159" i="1"/>
  <c r="E159" i="1"/>
  <c r="J157" i="1"/>
  <c r="J28" i="1" s="1"/>
  <c r="J156" i="1"/>
  <c r="J27" i="1" s="1"/>
  <c r="J155" i="1"/>
  <c r="K154" i="1"/>
  <c r="I154" i="1"/>
  <c r="H154" i="1"/>
  <c r="G154" i="1"/>
  <c r="F154" i="1"/>
  <c r="E154" i="1"/>
  <c r="J153" i="1"/>
  <c r="H153" i="1"/>
  <c r="H23" i="1" s="1"/>
  <c r="H151" i="1"/>
  <c r="J150" i="1"/>
  <c r="J20" i="1" s="1"/>
  <c r="J149" i="1"/>
  <c r="K147" i="1"/>
  <c r="I147" i="1"/>
  <c r="H147" i="1"/>
  <c r="G147" i="1"/>
  <c r="F147" i="1"/>
  <c r="E147" i="1"/>
  <c r="H146" i="1"/>
  <c r="H145" i="1" s="1"/>
  <c r="H144" i="1" s="1"/>
  <c r="K145" i="1"/>
  <c r="K144" i="1" s="1"/>
  <c r="J145" i="1"/>
  <c r="J144" i="1" s="1"/>
  <c r="I145" i="1"/>
  <c r="G145" i="1"/>
  <c r="G144" i="1" s="1"/>
  <c r="F145" i="1"/>
  <c r="F144" i="1" s="1"/>
  <c r="E145" i="1"/>
  <c r="E144" i="1" s="1"/>
  <c r="I144" i="1"/>
  <c r="K138" i="1"/>
  <c r="I138" i="1"/>
  <c r="G138" i="1"/>
  <c r="F138" i="1"/>
  <c r="E138" i="1"/>
  <c r="D138" i="1"/>
  <c r="K137" i="1"/>
  <c r="I137" i="1"/>
  <c r="G137" i="1"/>
  <c r="F137" i="1"/>
  <c r="E137" i="1"/>
  <c r="D137" i="1"/>
  <c r="K136" i="1"/>
  <c r="I136" i="1"/>
  <c r="G136" i="1"/>
  <c r="F136" i="1"/>
  <c r="E136" i="1"/>
  <c r="D136" i="1"/>
  <c r="K135" i="1"/>
  <c r="I135" i="1"/>
  <c r="G135" i="1"/>
  <c r="F135" i="1"/>
  <c r="E135" i="1"/>
  <c r="D135" i="1"/>
  <c r="K134" i="1"/>
  <c r="I134" i="1"/>
  <c r="H134" i="1"/>
  <c r="G134" i="1"/>
  <c r="F134" i="1"/>
  <c r="E134" i="1"/>
  <c r="D134" i="1"/>
  <c r="J133" i="1"/>
  <c r="K132" i="1"/>
  <c r="I132" i="1"/>
  <c r="G132" i="1"/>
  <c r="F132" i="1"/>
  <c r="E132" i="1"/>
  <c r="D132" i="1"/>
  <c r="C132" i="1"/>
  <c r="K129" i="1"/>
  <c r="I129" i="1"/>
  <c r="G129" i="1"/>
  <c r="F129" i="1"/>
  <c r="E129" i="1"/>
  <c r="C129" i="1"/>
  <c r="G128" i="1"/>
  <c r="F127" i="1"/>
  <c r="K124" i="1"/>
  <c r="J124" i="1"/>
  <c r="I124" i="1"/>
  <c r="G124" i="1"/>
  <c r="F124" i="1"/>
  <c r="E124" i="1"/>
  <c r="K119" i="1"/>
  <c r="I119" i="1"/>
  <c r="H119" i="1"/>
  <c r="G119" i="1"/>
  <c r="F119" i="1"/>
  <c r="E119" i="1"/>
  <c r="D119" i="1"/>
  <c r="C119" i="1"/>
  <c r="K118" i="1"/>
  <c r="I118" i="1"/>
  <c r="H118" i="1"/>
  <c r="G118" i="1"/>
  <c r="F118" i="1"/>
  <c r="E118" i="1"/>
  <c r="D118" i="1"/>
  <c r="C118" i="1"/>
  <c r="K117" i="1"/>
  <c r="I117" i="1"/>
  <c r="H117" i="1"/>
  <c r="G117" i="1"/>
  <c r="F117" i="1"/>
  <c r="E117" i="1"/>
  <c r="D117" i="1"/>
  <c r="C117" i="1"/>
  <c r="K115" i="1"/>
  <c r="J115" i="1"/>
  <c r="I115" i="1"/>
  <c r="H115" i="1"/>
  <c r="G115" i="1"/>
  <c r="F115" i="1"/>
  <c r="E115" i="1"/>
  <c r="D115" i="1"/>
  <c r="C115" i="1"/>
  <c r="K114" i="1"/>
  <c r="I114" i="1"/>
  <c r="H114" i="1"/>
  <c r="G114" i="1"/>
  <c r="F114" i="1"/>
  <c r="E114" i="1"/>
  <c r="D114" i="1"/>
  <c r="C114" i="1"/>
  <c r="K113" i="1"/>
  <c r="I113" i="1"/>
  <c r="H113" i="1"/>
  <c r="G113" i="1"/>
  <c r="F113" i="1"/>
  <c r="E113" i="1"/>
  <c r="D113" i="1"/>
  <c r="C113" i="1"/>
  <c r="K112" i="1"/>
  <c r="I112" i="1"/>
  <c r="H112" i="1"/>
  <c r="G112" i="1"/>
  <c r="F112" i="1"/>
  <c r="E112" i="1"/>
  <c r="D112" i="1"/>
  <c r="C112" i="1"/>
  <c r="K106" i="1"/>
  <c r="I106" i="1"/>
  <c r="G106" i="1"/>
  <c r="F106" i="1"/>
  <c r="E106" i="1"/>
  <c r="K104" i="1"/>
  <c r="I104" i="1"/>
  <c r="G104" i="1"/>
  <c r="F104" i="1"/>
  <c r="E104" i="1"/>
  <c r="I102" i="1"/>
  <c r="G102" i="1"/>
  <c r="K100" i="1"/>
  <c r="I100" i="1"/>
  <c r="G100" i="1"/>
  <c r="F100" i="1"/>
  <c r="E100" i="1"/>
  <c r="D100" i="1"/>
  <c r="G98" i="1"/>
  <c r="K95" i="1"/>
  <c r="I95" i="1"/>
  <c r="G95" i="1"/>
  <c r="F95" i="1"/>
  <c r="E95" i="1"/>
  <c r="D95" i="1"/>
  <c r="C95" i="1"/>
  <c r="K88" i="1"/>
  <c r="K86" i="1"/>
  <c r="I86" i="1"/>
  <c r="G86" i="1"/>
  <c r="F86" i="1"/>
  <c r="E86" i="1"/>
  <c r="K85" i="1"/>
  <c r="I85" i="1"/>
  <c r="G85" i="1"/>
  <c r="F85" i="1"/>
  <c r="E85" i="1"/>
  <c r="K84" i="1"/>
  <c r="I84" i="1"/>
  <c r="G84" i="1"/>
  <c r="F84" i="1"/>
  <c r="E84" i="1"/>
  <c r="K83" i="1"/>
  <c r="I83" i="1"/>
  <c r="G83" i="1"/>
  <c r="F83" i="1"/>
  <c r="E83" i="1"/>
  <c r="I82" i="1"/>
  <c r="I81" i="1" s="1"/>
  <c r="K80" i="1"/>
  <c r="I80" i="1"/>
  <c r="G80" i="1"/>
  <c r="F80" i="1"/>
  <c r="E80" i="1"/>
  <c r="K77" i="1"/>
  <c r="F77" i="1"/>
  <c r="K75" i="1"/>
  <c r="G75" i="1"/>
  <c r="F75" i="1"/>
  <c r="E75" i="1"/>
  <c r="K73" i="1"/>
  <c r="I73" i="1"/>
  <c r="G73" i="1"/>
  <c r="F73" i="1"/>
  <c r="E73" i="1"/>
  <c r="K71" i="1"/>
  <c r="I71" i="1"/>
  <c r="G71" i="1"/>
  <c r="F71" i="1"/>
  <c r="E71" i="1"/>
  <c r="K67" i="1"/>
  <c r="I67" i="1"/>
  <c r="G67" i="1"/>
  <c r="F67" i="1"/>
  <c r="E67" i="1"/>
  <c r="E65" i="1"/>
  <c r="D65" i="1"/>
  <c r="C65" i="1"/>
  <c r="K64" i="1"/>
  <c r="I64" i="1"/>
  <c r="G64" i="1"/>
  <c r="F64" i="1"/>
  <c r="K60" i="1"/>
  <c r="K59" i="1" s="1"/>
  <c r="I60" i="1"/>
  <c r="I59" i="1" s="1"/>
  <c r="G60" i="1"/>
  <c r="G59" i="1" s="1"/>
  <c r="F60" i="1"/>
  <c r="F59" i="1" s="1"/>
  <c r="E60" i="1"/>
  <c r="K58" i="1"/>
  <c r="I58" i="1"/>
  <c r="G58" i="1"/>
  <c r="F58" i="1"/>
  <c r="E58" i="1"/>
  <c r="F55" i="1"/>
  <c r="H53" i="1"/>
  <c r="D53" i="1"/>
  <c r="G52" i="1"/>
  <c r="D52" i="1"/>
  <c r="G48" i="1"/>
  <c r="G47" i="1" s="1"/>
  <c r="D48" i="1"/>
  <c r="D47" i="1" s="1"/>
  <c r="K44" i="1"/>
  <c r="F44" i="1"/>
  <c r="I41" i="1"/>
  <c r="D41" i="1"/>
  <c r="C41" i="1"/>
  <c r="I36" i="1"/>
  <c r="G36" i="1"/>
  <c r="F36" i="1"/>
  <c r="E36" i="1"/>
  <c r="K35" i="1"/>
  <c r="I35" i="1"/>
  <c r="G35" i="1"/>
  <c r="F35" i="1"/>
  <c r="E35" i="1"/>
  <c r="K34" i="1"/>
  <c r="K33" i="1" s="1"/>
  <c r="F34" i="1"/>
  <c r="E34" i="1"/>
  <c r="E33" i="1" s="1"/>
  <c r="K31" i="1"/>
  <c r="K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C31" i="1"/>
  <c r="C30" i="1" s="1"/>
  <c r="K28" i="1"/>
  <c r="I28" i="1"/>
  <c r="H28" i="1"/>
  <c r="G28" i="1"/>
  <c r="F28" i="1"/>
  <c r="E28" i="1"/>
  <c r="D28" i="1"/>
  <c r="C28" i="1"/>
  <c r="K27" i="1"/>
  <c r="I27" i="1"/>
  <c r="H27" i="1"/>
  <c r="G27" i="1"/>
  <c r="F27" i="1"/>
  <c r="E27" i="1"/>
  <c r="D27" i="1"/>
  <c r="C27" i="1"/>
  <c r="K26" i="1"/>
  <c r="J26" i="1"/>
  <c r="I26" i="1"/>
  <c r="H26" i="1"/>
  <c r="G26" i="1"/>
  <c r="F26" i="1"/>
  <c r="E26" i="1"/>
  <c r="D26" i="1"/>
  <c r="C26" i="1"/>
  <c r="K23" i="1"/>
  <c r="J23" i="1"/>
  <c r="I23" i="1"/>
  <c r="G23" i="1"/>
  <c r="F23" i="1"/>
  <c r="E23" i="1"/>
  <c r="D23" i="1"/>
  <c r="C23" i="1"/>
  <c r="K21" i="1"/>
  <c r="G21" i="1"/>
  <c r="H21" i="1" s="1"/>
  <c r="F21" i="1"/>
  <c r="E21" i="1"/>
  <c r="K20" i="1"/>
  <c r="I20" i="1"/>
  <c r="H20" i="1"/>
  <c r="G20" i="1"/>
  <c r="F20" i="1"/>
  <c r="E20" i="1"/>
  <c r="K19" i="1"/>
  <c r="I19" i="1"/>
  <c r="H19" i="1"/>
  <c r="G19" i="1"/>
  <c r="F19" i="1"/>
  <c r="E19" i="1"/>
  <c r="K18" i="1"/>
  <c r="I18" i="1"/>
  <c r="H18" i="1"/>
  <c r="G18" i="1"/>
  <c r="F18" i="1"/>
  <c r="E18" i="1"/>
  <c r="J16" i="1"/>
  <c r="J15" i="1" s="1"/>
  <c r="J14" i="1" s="1"/>
  <c r="F16" i="1"/>
  <c r="F15" i="1" s="1"/>
  <c r="F14" i="1" s="1"/>
  <c r="D16" i="1"/>
  <c r="D15" i="1" s="1"/>
  <c r="D14" i="1" s="1"/>
  <c r="K8" i="1"/>
  <c r="J8" i="1"/>
  <c r="I8" i="1"/>
  <c r="H8" i="1"/>
  <c r="G8" i="1"/>
  <c r="F8" i="1"/>
  <c r="E8" i="1"/>
  <c r="D8" i="1"/>
  <c r="C8" i="1"/>
  <c r="B6" i="1"/>
  <c r="E91" i="1" l="1"/>
  <c r="E90" i="1" s="1"/>
  <c r="E190" i="1"/>
  <c r="J95" i="1"/>
  <c r="K98" i="1"/>
  <c r="K97" i="1" s="1"/>
  <c r="I21" i="1"/>
  <c r="E168" i="1"/>
  <c r="E167" i="1" s="1"/>
  <c r="H43" i="1"/>
  <c r="I40" i="1"/>
  <c r="I39" i="1" s="1"/>
  <c r="G43" i="1"/>
  <c r="J96" i="1"/>
  <c r="J83" i="1"/>
  <c r="K91" i="1"/>
  <c r="K90" i="1" s="1"/>
  <c r="E293" i="1"/>
  <c r="E289" i="1" s="1"/>
  <c r="K293" i="1"/>
  <c r="H129" i="1"/>
  <c r="K41" i="1"/>
  <c r="I77" i="1"/>
  <c r="F102" i="1"/>
  <c r="K305" i="1"/>
  <c r="F343" i="1"/>
  <c r="F342" i="1" s="1"/>
  <c r="F341" i="1" s="1"/>
  <c r="G16" i="1"/>
  <c r="G15" i="1" s="1"/>
  <c r="E82" i="1"/>
  <c r="E81" i="1" s="1"/>
  <c r="F96" i="1"/>
  <c r="F94" i="1" s="1"/>
  <c r="H132" i="1"/>
  <c r="F167" i="1"/>
  <c r="J19" i="1"/>
  <c r="G65" i="1"/>
  <c r="J80" i="1"/>
  <c r="D291" i="1"/>
  <c r="D40" i="1" s="1"/>
  <c r="D39" i="1" s="1"/>
  <c r="F40" i="1"/>
  <c r="F39" i="1" s="1"/>
  <c r="J48" i="1"/>
  <c r="J47" i="1" s="1"/>
  <c r="J100" i="1"/>
  <c r="G116" i="1"/>
  <c r="J132" i="1"/>
  <c r="G96" i="1"/>
  <c r="G94" i="1" s="1"/>
  <c r="E105" i="1"/>
  <c r="E103" i="1" s="1"/>
  <c r="G133" i="1"/>
  <c r="J168" i="1"/>
  <c r="J167" i="1" s="1"/>
  <c r="J52" i="1"/>
  <c r="I53" i="1"/>
  <c r="J129" i="1"/>
  <c r="G40" i="1"/>
  <c r="G39" i="1" s="1"/>
  <c r="G97" i="1"/>
  <c r="I252" i="1"/>
  <c r="E329" i="1"/>
  <c r="H106" i="1"/>
  <c r="H105" i="1" s="1"/>
  <c r="J113" i="1"/>
  <c r="J119" i="1"/>
  <c r="H323" i="1"/>
  <c r="I72" i="1"/>
  <c r="H124" i="1"/>
  <c r="K375" i="1"/>
  <c r="F121" i="1"/>
  <c r="F120" i="1" s="1"/>
  <c r="H40" i="1"/>
  <c r="H39" i="1" s="1"/>
  <c r="J43" i="1"/>
  <c r="I44" i="1"/>
  <c r="E52" i="1"/>
  <c r="K52" i="1"/>
  <c r="J53" i="1"/>
  <c r="J58" i="1"/>
  <c r="H65" i="1"/>
  <c r="G220" i="1"/>
  <c r="J40" i="1"/>
  <c r="J39" i="1" s="1"/>
  <c r="K111" i="1"/>
  <c r="K110" i="1" s="1"/>
  <c r="J44" i="1"/>
  <c r="F52" i="1"/>
  <c r="E53" i="1"/>
  <c r="K53" i="1"/>
  <c r="G270" i="1"/>
  <c r="H55" i="1"/>
  <c r="J354" i="1"/>
  <c r="H73" i="1"/>
  <c r="H72" i="1" s="1"/>
  <c r="F105" i="1"/>
  <c r="F103" i="1" s="1"/>
  <c r="E111" i="1"/>
  <c r="E110" i="1" s="1"/>
  <c r="G121" i="1"/>
  <c r="G120" i="1" s="1"/>
  <c r="I158" i="1"/>
  <c r="E220" i="1"/>
  <c r="E219" i="1" s="1"/>
  <c r="K40" i="1"/>
  <c r="K39" i="1" s="1"/>
  <c r="F305" i="1"/>
  <c r="J306" i="1"/>
  <c r="J305" i="1" s="1"/>
  <c r="H58" i="1"/>
  <c r="I305" i="1"/>
  <c r="J337" i="1"/>
  <c r="H91" i="1"/>
  <c r="H90" i="1" s="1"/>
  <c r="I375" i="1"/>
  <c r="I374" i="1" s="1"/>
  <c r="I358" i="1" s="1"/>
  <c r="J377" i="1"/>
  <c r="J128" i="1" s="1"/>
  <c r="K43" i="1"/>
  <c r="K42" i="1" s="1"/>
  <c r="F116" i="1"/>
  <c r="E272" i="1"/>
  <c r="E271" i="1" s="1"/>
  <c r="E270" i="1" s="1"/>
  <c r="J35" i="1"/>
  <c r="J114" i="1"/>
  <c r="I126" i="1"/>
  <c r="F207" i="1"/>
  <c r="H85" i="1"/>
  <c r="I274" i="1"/>
  <c r="H71" i="1"/>
  <c r="H62" i="1" s="1"/>
  <c r="I323" i="1"/>
  <c r="I312" i="1" s="1"/>
  <c r="D116" i="1"/>
  <c r="J253" i="1"/>
  <c r="J252" i="1" s="1"/>
  <c r="I43" i="1"/>
  <c r="G44" i="1"/>
  <c r="G53" i="1"/>
  <c r="J67" i="1"/>
  <c r="J71" i="1"/>
  <c r="F190" i="1"/>
  <c r="E16" i="1"/>
  <c r="E15" i="1" s="1"/>
  <c r="E14" i="1" s="1"/>
  <c r="K17" i="1"/>
  <c r="E43" i="1"/>
  <c r="E42" i="1" s="1"/>
  <c r="G55" i="1"/>
  <c r="G54" i="1" s="1"/>
  <c r="K105" i="1"/>
  <c r="K103" i="1" s="1"/>
  <c r="J64" i="1"/>
  <c r="J112" i="1"/>
  <c r="J118" i="1"/>
  <c r="K272" i="1"/>
  <c r="K271" i="1" s="1"/>
  <c r="K270" i="1" s="1"/>
  <c r="F284" i="1"/>
  <c r="F283" i="1" s="1"/>
  <c r="C294" i="1"/>
  <c r="C43" i="1" s="1"/>
  <c r="H44" i="1"/>
  <c r="I52" i="1"/>
  <c r="C306" i="1"/>
  <c r="H128" i="1"/>
  <c r="G49" i="1"/>
  <c r="C272" i="1"/>
  <c r="C271" i="1" s="1"/>
  <c r="C270" i="1" s="1"/>
  <c r="C16" i="1"/>
  <c r="C15" i="1" s="1"/>
  <c r="H343" i="1"/>
  <c r="I34" i="1"/>
  <c r="I33" i="1" s="1"/>
  <c r="I32" i="1" s="1"/>
  <c r="I29" i="1" s="1"/>
  <c r="D49" i="1"/>
  <c r="J55" i="1"/>
  <c r="I96" i="1"/>
  <c r="I94" i="1" s="1"/>
  <c r="E133" i="1"/>
  <c r="J163" i="1"/>
  <c r="J162" i="1" s="1"/>
  <c r="G168" i="1"/>
  <c r="G167" i="1" s="1"/>
  <c r="I272" i="1"/>
  <c r="I271" i="1" s="1"/>
  <c r="K290" i="1"/>
  <c r="K289" i="1" s="1"/>
  <c r="I293" i="1"/>
  <c r="H293" i="1"/>
  <c r="D305" i="1"/>
  <c r="D347" i="1"/>
  <c r="H100" i="1"/>
  <c r="C351" i="1"/>
  <c r="C102" i="1" s="1"/>
  <c r="F91" i="1"/>
  <c r="F90" i="1" s="1"/>
  <c r="I121" i="1"/>
  <c r="G305" i="1"/>
  <c r="E17" i="1"/>
  <c r="K36" i="1"/>
  <c r="K32" i="1" s="1"/>
  <c r="H60" i="1"/>
  <c r="H59" i="1" s="1"/>
  <c r="I65" i="1"/>
  <c r="I62" i="1" s="1"/>
  <c r="F88" i="1"/>
  <c r="F87" i="1" s="1"/>
  <c r="G91" i="1"/>
  <c r="G90" i="1" s="1"/>
  <c r="E116" i="1"/>
  <c r="K127" i="1"/>
  <c r="K126" i="1" s="1"/>
  <c r="H216" i="1"/>
  <c r="H88" i="1" s="1"/>
  <c r="H87" i="1" s="1"/>
  <c r="J260" i="1"/>
  <c r="H306" i="1"/>
  <c r="H305" i="1" s="1"/>
  <c r="C329" i="1"/>
  <c r="F329" i="1"/>
  <c r="E375" i="1"/>
  <c r="E374" i="1" s="1"/>
  <c r="C24" i="1"/>
  <c r="I24" i="1"/>
  <c r="K65" i="1"/>
  <c r="K62" i="1" s="1"/>
  <c r="F82" i="1"/>
  <c r="F81" i="1" s="1"/>
  <c r="G88" i="1"/>
  <c r="G87" i="1" s="1"/>
  <c r="F98" i="1"/>
  <c r="F97" i="1" s="1"/>
  <c r="J36" i="1"/>
  <c r="H220" i="1"/>
  <c r="H219" i="1" s="1"/>
  <c r="G252" i="1"/>
  <c r="G236" i="1" s="1"/>
  <c r="C284" i="1"/>
  <c r="C283" i="1" s="1"/>
  <c r="J293" i="1"/>
  <c r="C313" i="1"/>
  <c r="K96" i="1"/>
  <c r="K94" i="1" s="1"/>
  <c r="H102" i="1"/>
  <c r="J117" i="1"/>
  <c r="J370" i="1"/>
  <c r="J369" i="1" s="1"/>
  <c r="D24" i="1"/>
  <c r="G24" i="1"/>
  <c r="E40" i="1"/>
  <c r="E39" i="1" s="1"/>
  <c r="C49" i="1"/>
  <c r="J49" i="1"/>
  <c r="C62" i="1"/>
  <c r="H95" i="1"/>
  <c r="H94" i="1" s="1"/>
  <c r="C111" i="1"/>
  <c r="C110" i="1" s="1"/>
  <c r="J106" i="1"/>
  <c r="J105" i="1" s="1"/>
  <c r="H77" i="1"/>
  <c r="J376" i="1"/>
  <c r="J127" i="1" s="1"/>
  <c r="H17" i="1"/>
  <c r="H16" i="1"/>
  <c r="H15" i="1" s="1"/>
  <c r="C35" i="1"/>
  <c r="C32" i="1" s="1"/>
  <c r="E127" i="1"/>
  <c r="E126" i="1" s="1"/>
  <c r="H168" i="1"/>
  <c r="H167" i="1" s="1"/>
  <c r="K183" i="1"/>
  <c r="J221" i="1"/>
  <c r="F252" i="1"/>
  <c r="F236" i="1" s="1"/>
  <c r="C17" i="1"/>
  <c r="C376" i="1"/>
  <c r="C127" i="1" s="1"/>
  <c r="E24" i="1"/>
  <c r="K24" i="1"/>
  <c r="G34" i="1"/>
  <c r="G33" i="1" s="1"/>
  <c r="G32" i="1" s="1"/>
  <c r="F43" i="1"/>
  <c r="F42" i="1" s="1"/>
  <c r="C44" i="1"/>
  <c r="C55" i="1"/>
  <c r="C80" i="1"/>
  <c r="I87" i="1"/>
  <c r="I79" i="1" s="1"/>
  <c r="I78" i="1" s="1"/>
  <c r="I143" i="1"/>
  <c r="G162" i="1"/>
  <c r="G161" i="1" s="1"/>
  <c r="H163" i="1"/>
  <c r="E183" i="1"/>
  <c r="K209" i="1"/>
  <c r="K207" i="1" s="1"/>
  <c r="D17" i="1"/>
  <c r="J31" i="1"/>
  <c r="J30" i="1" s="1"/>
  <c r="G77" i="1"/>
  <c r="F183" i="1"/>
  <c r="I220" i="1"/>
  <c r="I219" i="1" s="1"/>
  <c r="E87" i="1"/>
  <c r="E98" i="1"/>
  <c r="E97" i="1" s="1"/>
  <c r="J232" i="1"/>
  <c r="J230" i="1" s="1"/>
  <c r="K252" i="1"/>
  <c r="K236" i="1" s="1"/>
  <c r="H347" i="1"/>
  <c r="H98" i="1" s="1"/>
  <c r="H97" i="1" s="1"/>
  <c r="J24" i="1"/>
  <c r="I17" i="1"/>
  <c r="H24" i="1"/>
  <c r="E96" i="1"/>
  <c r="E94" i="1" s="1"/>
  <c r="K133" i="1"/>
  <c r="H191" i="1"/>
  <c r="E252" i="1"/>
  <c r="E236" i="1" s="1"/>
  <c r="C347" i="1"/>
  <c r="C14" i="1"/>
  <c r="G17" i="1"/>
  <c r="D32" i="1"/>
  <c r="D29" i="1" s="1"/>
  <c r="I14" i="1"/>
  <c r="E32" i="1"/>
  <c r="G14" i="1"/>
  <c r="F17" i="1"/>
  <c r="G29" i="1"/>
  <c r="C39" i="1"/>
  <c r="I49" i="1"/>
  <c r="F49" i="1"/>
  <c r="K55" i="1"/>
  <c r="G62" i="1"/>
  <c r="E59" i="1"/>
  <c r="D62" i="1"/>
  <c r="F72" i="1"/>
  <c r="F54" i="1"/>
  <c r="E55" i="1"/>
  <c r="F24" i="1"/>
  <c r="F33" i="1"/>
  <c r="D55" i="1"/>
  <c r="K72" i="1"/>
  <c r="H47" i="1"/>
  <c r="E49" i="1"/>
  <c r="K49" i="1"/>
  <c r="E62" i="1"/>
  <c r="G72" i="1"/>
  <c r="E72" i="1"/>
  <c r="I55" i="1"/>
  <c r="F62" i="1"/>
  <c r="D94" i="1"/>
  <c r="K87" i="1"/>
  <c r="K79" i="1" s="1"/>
  <c r="I97" i="1"/>
  <c r="I105" i="1"/>
  <c r="F111" i="1"/>
  <c r="F126" i="1"/>
  <c r="G143" i="1"/>
  <c r="I111" i="1"/>
  <c r="K116" i="1"/>
  <c r="E121" i="1"/>
  <c r="G126" i="1"/>
  <c r="F133" i="1"/>
  <c r="K143" i="1"/>
  <c r="C116" i="1"/>
  <c r="I116" i="1"/>
  <c r="J121" i="1"/>
  <c r="H111" i="1"/>
  <c r="H133" i="1"/>
  <c r="J94" i="1"/>
  <c r="G105" i="1"/>
  <c r="D111" i="1"/>
  <c r="H116" i="1"/>
  <c r="I133" i="1"/>
  <c r="E143" i="1"/>
  <c r="H143" i="1"/>
  <c r="G111" i="1"/>
  <c r="K121" i="1"/>
  <c r="F143" i="1"/>
  <c r="J147" i="1"/>
  <c r="D133" i="1"/>
  <c r="K158" i="1"/>
  <c r="F161" i="1"/>
  <c r="I168" i="1"/>
  <c r="G183" i="1"/>
  <c r="J189" i="1"/>
  <c r="H201" i="1"/>
  <c r="J206" i="1"/>
  <c r="F270" i="1"/>
  <c r="J154" i="1"/>
  <c r="K168" i="1"/>
  <c r="H183" i="1"/>
  <c r="J218" i="1"/>
  <c r="E158" i="1"/>
  <c r="I183" i="1"/>
  <c r="I190" i="1"/>
  <c r="H210" i="1"/>
  <c r="G209" i="1"/>
  <c r="J210" i="1"/>
  <c r="J248" i="1"/>
  <c r="J216" i="1"/>
  <c r="I215" i="1"/>
  <c r="I207" i="1" s="1"/>
  <c r="F220" i="1"/>
  <c r="J224" i="1"/>
  <c r="G230" i="1"/>
  <c r="J184" i="1"/>
  <c r="J191" i="1"/>
  <c r="J201" i="1"/>
  <c r="K221" i="1"/>
  <c r="J213" i="1"/>
  <c r="E215" i="1"/>
  <c r="H248" i="1"/>
  <c r="H257" i="1"/>
  <c r="H260" i="1"/>
  <c r="D272" i="1"/>
  <c r="F280" i="1"/>
  <c r="H284" i="1"/>
  <c r="I284" i="1"/>
  <c r="D295" i="1"/>
  <c r="F293" i="1"/>
  <c r="E312" i="1"/>
  <c r="I248" i="1"/>
  <c r="H253" i="1"/>
  <c r="G280" i="1"/>
  <c r="K283" i="1"/>
  <c r="J285" i="1"/>
  <c r="J290" i="1"/>
  <c r="C304" i="1"/>
  <c r="H313" i="1"/>
  <c r="J238" i="1"/>
  <c r="J274" i="1"/>
  <c r="E283" i="1"/>
  <c r="C290" i="1"/>
  <c r="I290" i="1"/>
  <c r="H273" i="1"/>
  <c r="D284" i="1"/>
  <c r="G293" i="1"/>
  <c r="K312" i="1"/>
  <c r="E342" i="1"/>
  <c r="J243" i="1"/>
  <c r="K329" i="1"/>
  <c r="D329" i="1"/>
  <c r="K343" i="1"/>
  <c r="J343" i="1"/>
  <c r="I352" i="1"/>
  <c r="J353" i="1"/>
  <c r="J316" i="1"/>
  <c r="J313" i="1" s="1"/>
  <c r="J323" i="1"/>
  <c r="I329" i="1"/>
  <c r="I346" i="1"/>
  <c r="I342" i="1" s="1"/>
  <c r="F313" i="1"/>
  <c r="G313" i="1"/>
  <c r="J340" i="1"/>
  <c r="G329" i="1"/>
  <c r="J351" i="1"/>
  <c r="J360" i="1"/>
  <c r="C328" i="1"/>
  <c r="D343" i="1"/>
  <c r="G342" i="1"/>
  <c r="H354" i="1"/>
  <c r="D323" i="1"/>
  <c r="D328" i="1"/>
  <c r="H337" i="1"/>
  <c r="C345" i="1"/>
  <c r="D352" i="1"/>
  <c r="K374" i="1"/>
  <c r="H331" i="1"/>
  <c r="H370" i="1"/>
  <c r="F375" i="1"/>
  <c r="D377" i="1"/>
  <c r="G375" i="1"/>
  <c r="D378" i="1"/>
  <c r="J347" i="1"/>
  <c r="H376" i="1"/>
  <c r="J379" i="1"/>
  <c r="J365" i="1"/>
  <c r="D376" i="1"/>
  <c r="C377" i="1"/>
  <c r="J382" i="1"/>
  <c r="E79" i="1" l="1"/>
  <c r="H42" i="1"/>
  <c r="D290" i="1"/>
  <c r="K93" i="1"/>
  <c r="G42" i="1"/>
  <c r="J42" i="1"/>
  <c r="J38" i="1" s="1"/>
  <c r="I42" i="1"/>
  <c r="I38" i="1" s="1"/>
  <c r="J17" i="1"/>
  <c r="J13" i="1" s="1"/>
  <c r="I270" i="1"/>
  <c r="H346" i="1"/>
  <c r="J220" i="1"/>
  <c r="J219" i="1" s="1"/>
  <c r="F79" i="1"/>
  <c r="F78" i="1" s="1"/>
  <c r="J126" i="1"/>
  <c r="J125" i="1" s="1"/>
  <c r="C293" i="1"/>
  <c r="C289" i="1" s="1"/>
  <c r="H121" i="1"/>
  <c r="H120" i="1" s="1"/>
  <c r="F166" i="1"/>
  <c r="K13" i="1"/>
  <c r="H49" i="1"/>
  <c r="J116" i="1"/>
  <c r="J111" i="1"/>
  <c r="J110" i="1" s="1"/>
  <c r="J375" i="1"/>
  <c r="J374" i="1" s="1"/>
  <c r="H93" i="1"/>
  <c r="H289" i="1"/>
  <c r="F93" i="1"/>
  <c r="C42" i="1"/>
  <c r="H215" i="1"/>
  <c r="E13" i="1"/>
  <c r="D346" i="1"/>
  <c r="D342" i="1" s="1"/>
  <c r="D98" i="1"/>
  <c r="D97" i="1" s="1"/>
  <c r="C346" i="1"/>
  <c r="C342" i="1" s="1"/>
  <c r="C98" i="1"/>
  <c r="C97" i="1" s="1"/>
  <c r="H162" i="1"/>
  <c r="H161" i="1" s="1"/>
  <c r="H158" i="1" s="1"/>
  <c r="H34" i="1"/>
  <c r="H33" i="1" s="1"/>
  <c r="H32" i="1" s="1"/>
  <c r="H29" i="1" s="1"/>
  <c r="J359" i="1"/>
  <c r="J346" i="1"/>
  <c r="J342" i="1" s="1"/>
  <c r="J98" i="1"/>
  <c r="H342" i="1"/>
  <c r="I289" i="1"/>
  <c r="E288" i="1"/>
  <c r="D293" i="1"/>
  <c r="D44" i="1"/>
  <c r="H375" i="1"/>
  <c r="H127" i="1"/>
  <c r="C77" i="1"/>
  <c r="H190" i="1"/>
  <c r="G374" i="1"/>
  <c r="J329" i="1"/>
  <c r="D77" i="1"/>
  <c r="J102" i="1"/>
  <c r="J75" i="1"/>
  <c r="J65" i="1"/>
  <c r="D283" i="1"/>
  <c r="J237" i="1"/>
  <c r="C53" i="1"/>
  <c r="I247" i="1"/>
  <c r="H247" i="1"/>
  <c r="E207" i="1"/>
  <c r="G219" i="1"/>
  <c r="F219" i="1"/>
  <c r="J247" i="1"/>
  <c r="F158" i="1"/>
  <c r="J143" i="1"/>
  <c r="D110" i="1"/>
  <c r="E125" i="1"/>
  <c r="D79" i="1"/>
  <c r="G79" i="1"/>
  <c r="K54" i="1"/>
  <c r="E38" i="1"/>
  <c r="D129" i="1"/>
  <c r="C96" i="1"/>
  <c r="G312" i="1"/>
  <c r="E358" i="1"/>
  <c r="C128" i="1"/>
  <c r="H352" i="1"/>
  <c r="H369" i="1"/>
  <c r="G341" i="1"/>
  <c r="C375" i="1"/>
  <c r="E280" i="1"/>
  <c r="K280" i="1"/>
  <c r="K288" i="1"/>
  <c r="J85" i="1"/>
  <c r="J190" i="1"/>
  <c r="J209" i="1"/>
  <c r="J82" i="1"/>
  <c r="K167" i="1"/>
  <c r="J77" i="1"/>
  <c r="J120" i="1"/>
  <c r="G125" i="1"/>
  <c r="G103" i="1"/>
  <c r="F125" i="1"/>
  <c r="F92" i="1"/>
  <c r="E78" i="1"/>
  <c r="F61" i="1"/>
  <c r="K61" i="1"/>
  <c r="H54" i="1"/>
  <c r="H14" i="1"/>
  <c r="C79" i="1"/>
  <c r="G38" i="1"/>
  <c r="D13" i="1"/>
  <c r="C352" i="1"/>
  <c r="I341" i="1"/>
  <c r="H272" i="1"/>
  <c r="J270" i="1"/>
  <c r="H312" i="1"/>
  <c r="J312" i="1"/>
  <c r="I283" i="1"/>
  <c r="D271" i="1"/>
  <c r="K220" i="1"/>
  <c r="J215" i="1"/>
  <c r="J88" i="1"/>
  <c r="I120" i="1"/>
  <c r="I125" i="1"/>
  <c r="K78" i="1"/>
  <c r="I61" i="1"/>
  <c r="F38" i="1"/>
  <c r="K92" i="1"/>
  <c r="J352" i="1"/>
  <c r="J104" i="1"/>
  <c r="D128" i="1"/>
  <c r="F289" i="1"/>
  <c r="G207" i="1"/>
  <c r="G158" i="1"/>
  <c r="J188" i="1"/>
  <c r="J183" i="1" s="1"/>
  <c r="J60" i="1"/>
  <c r="I110" i="1"/>
  <c r="F110" i="1"/>
  <c r="G93" i="1"/>
  <c r="D93" i="1"/>
  <c r="I54" i="1"/>
  <c r="E61" i="1"/>
  <c r="F32" i="1"/>
  <c r="H61" i="1"/>
  <c r="K29" i="1"/>
  <c r="C13" i="1"/>
  <c r="K358" i="1"/>
  <c r="D312" i="1"/>
  <c r="H329" i="1"/>
  <c r="K342" i="1"/>
  <c r="J289" i="1"/>
  <c r="G289" i="1"/>
  <c r="H283" i="1"/>
  <c r="H209" i="1"/>
  <c r="H82" i="1"/>
  <c r="J91" i="1"/>
  <c r="I167" i="1"/>
  <c r="G110" i="1"/>
  <c r="H110" i="1"/>
  <c r="H103" i="1"/>
  <c r="K125" i="1"/>
  <c r="E120" i="1"/>
  <c r="E93" i="1"/>
  <c r="K38" i="1"/>
  <c r="C29" i="1"/>
  <c r="D375" i="1"/>
  <c r="D127" i="1"/>
  <c r="F312" i="1"/>
  <c r="C305" i="1"/>
  <c r="H252" i="1"/>
  <c r="F374" i="1"/>
  <c r="E341" i="1"/>
  <c r="J284" i="1"/>
  <c r="J34" i="1"/>
  <c r="J161" i="1"/>
  <c r="K120" i="1"/>
  <c r="I103" i="1"/>
  <c r="C54" i="1"/>
  <c r="I93" i="1"/>
  <c r="D54" i="1"/>
  <c r="E54" i="1"/>
  <c r="G61" i="1"/>
  <c r="F13" i="1"/>
  <c r="G13" i="1"/>
  <c r="E29" i="1"/>
  <c r="I13" i="1"/>
  <c r="H38" i="1" l="1"/>
  <c r="H92" i="1"/>
  <c r="C341" i="1"/>
  <c r="H207" i="1"/>
  <c r="J90" i="1"/>
  <c r="E92" i="1"/>
  <c r="F109" i="1"/>
  <c r="J158" i="1"/>
  <c r="F142" i="1"/>
  <c r="J288" i="1"/>
  <c r="D92" i="1"/>
  <c r="H271" i="1"/>
  <c r="D78" i="1"/>
  <c r="J62" i="1"/>
  <c r="G358" i="1"/>
  <c r="I288" i="1"/>
  <c r="I37" i="1"/>
  <c r="G109" i="1"/>
  <c r="F37" i="1"/>
  <c r="I280" i="1"/>
  <c r="J33" i="1"/>
  <c r="H280" i="1"/>
  <c r="I109" i="1"/>
  <c r="I92" i="1"/>
  <c r="J283" i="1"/>
  <c r="D126" i="1"/>
  <c r="K37" i="1"/>
  <c r="J109" i="1"/>
  <c r="H81" i="1"/>
  <c r="G288" i="1"/>
  <c r="K341" i="1"/>
  <c r="F29" i="1"/>
  <c r="J59" i="1"/>
  <c r="J87" i="1"/>
  <c r="G37" i="1"/>
  <c r="D61" i="1"/>
  <c r="E269" i="1"/>
  <c r="I236" i="1"/>
  <c r="J236" i="1"/>
  <c r="D341" i="1"/>
  <c r="H374" i="1"/>
  <c r="H358" i="1" s="1"/>
  <c r="H341" i="1"/>
  <c r="J358" i="1"/>
  <c r="H288" i="1"/>
  <c r="G92" i="1"/>
  <c r="J103" i="1"/>
  <c r="C78" i="1"/>
  <c r="K166" i="1"/>
  <c r="J341" i="1"/>
  <c r="E37" i="1"/>
  <c r="G78" i="1"/>
  <c r="J72" i="1"/>
  <c r="D42" i="1"/>
  <c r="D270" i="1"/>
  <c r="K269" i="1"/>
  <c r="C126" i="1"/>
  <c r="E166" i="1"/>
  <c r="D289" i="1"/>
  <c r="J97" i="1"/>
  <c r="K109" i="1"/>
  <c r="F358" i="1"/>
  <c r="E109" i="1"/>
  <c r="H13" i="1"/>
  <c r="J81" i="1"/>
  <c r="C94" i="1"/>
  <c r="D280" i="1"/>
  <c r="I166" i="1"/>
  <c r="D374" i="1"/>
  <c r="C374" i="1"/>
  <c r="C312" i="1"/>
  <c r="C288" i="1" s="1"/>
  <c r="G166" i="1"/>
  <c r="F288" i="1"/>
  <c r="K219" i="1"/>
  <c r="J207" i="1"/>
  <c r="C38" i="1"/>
  <c r="H236" i="1"/>
  <c r="H126" i="1"/>
  <c r="I12" i="1" l="1"/>
  <c r="I7" i="1" s="1"/>
  <c r="G12" i="1"/>
  <c r="G7" i="1" s="1"/>
  <c r="K12" i="1"/>
  <c r="K7" i="1" s="1"/>
  <c r="I142" i="1"/>
  <c r="F269" i="1"/>
  <c r="D358" i="1"/>
  <c r="J93" i="1"/>
  <c r="J54" i="1"/>
  <c r="G142" i="1"/>
  <c r="D288" i="1"/>
  <c r="E142" i="1"/>
  <c r="C125" i="1"/>
  <c r="G269" i="1"/>
  <c r="D125" i="1"/>
  <c r="F12" i="1"/>
  <c r="J32" i="1"/>
  <c r="E12" i="1"/>
  <c r="K142" i="1"/>
  <c r="J61" i="1"/>
  <c r="J166" i="1"/>
  <c r="J280" i="1"/>
  <c r="I269" i="1"/>
  <c r="C358" i="1"/>
  <c r="C269" i="1" s="1"/>
  <c r="H166" i="1"/>
  <c r="H125" i="1"/>
  <c r="C61" i="1"/>
  <c r="C37" i="1" s="1"/>
  <c r="C93" i="1"/>
  <c r="J79" i="1"/>
  <c r="D38" i="1"/>
  <c r="H79" i="1"/>
  <c r="H270" i="1"/>
  <c r="D269" i="1" l="1"/>
  <c r="J269" i="1"/>
  <c r="E7" i="1"/>
  <c r="C109" i="1"/>
  <c r="H142" i="1"/>
  <c r="H78" i="1"/>
  <c r="H37" i="1"/>
  <c r="C92" i="1"/>
  <c r="H109" i="1"/>
  <c r="J142" i="1"/>
  <c r="J29" i="1"/>
  <c r="J92" i="1"/>
  <c r="D37" i="1"/>
  <c r="J78" i="1"/>
  <c r="J37" i="1"/>
  <c r="F7" i="1"/>
  <c r="H269" i="1"/>
  <c r="D109" i="1"/>
  <c r="H12" i="1" l="1"/>
  <c r="J12" i="1"/>
  <c r="D12" i="1"/>
  <c r="C12" i="1"/>
  <c r="D7" i="1" l="1"/>
  <c r="C7" i="1"/>
  <c r="J7" i="1"/>
  <c r="H7" i="1"/>
</calcChain>
</file>

<file path=xl/sharedStrings.xml><?xml version="1.0" encoding="utf-8"?>
<sst xmlns="http://schemas.openxmlformats.org/spreadsheetml/2006/main" count="783" uniqueCount="337">
  <si>
    <t>CONTUL DE EXECUŢIE A BUGETULUI LOCAL- CHELTUIELI</t>
  </si>
  <si>
    <t>dif</t>
  </si>
  <si>
    <t>cod 21</t>
  </si>
  <si>
    <t>Denumirea indicatorilor</t>
  </si>
  <si>
    <t>Cod indicator</t>
  </si>
  <si>
    <t>Credite de angajament initiale</t>
  </si>
  <si>
    <t>Credite  bugetare  initiale</t>
  </si>
  <si>
    <t>Angajamente legale</t>
  </si>
  <si>
    <t>Angajamente bugetare</t>
  </si>
  <si>
    <t>Plati efectuate</t>
  </si>
  <si>
    <t>Angajamente legale de plătit</t>
  </si>
  <si>
    <t>Cheltuieli efective</t>
  </si>
  <si>
    <t>A</t>
  </si>
  <si>
    <t>B</t>
  </si>
  <si>
    <t>TOTAL CHELTUIELI 
(cod  50.02+59.02+63.02+70.02+74.02+79.02)</t>
  </si>
  <si>
    <t>49.02</t>
  </si>
  <si>
    <t>Partea I-a SERVICII PUBLICE GENERALE
(cod 51.02+54.02+55.02+56.02)</t>
  </si>
  <si>
    <t>50.02</t>
  </si>
  <si>
    <t>Autorităţi publice şi acţiuni externe
 (cod 51.02.01)</t>
  </si>
  <si>
    <t>51.02</t>
  </si>
  <si>
    <t>Autorităţi executive şi legislative 
(cod 51.02.01.03)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</si>
  <si>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</si>
  <si>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</si>
  <si>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</si>
  <si>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</si>
  <si>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</si>
  <si>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</si>
  <si>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</si>
  <si>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</si>
  <si>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</si>
  <si>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</si>
  <si>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</si>
  <si>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</si>
  <si>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</si>
  <si>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</si>
  <si>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</si>
  <si>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</si>
  <si>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</si>
  <si>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</si>
  <si>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</si>
  <si>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</si>
  <si>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</si>
  <si>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</si>
  <si>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</si>
  <si>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</si>
  <si>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</si>
  <si>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</si>
  <si>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Partea a II-a APĂRARE, ORDINE PUBLICĂ ŞI SIGURANŢĂ NAŢIONALĂ (60.02+61.02)</t>
  </si>
  <si>
    <t>59.02</t>
  </si>
  <si>
    <t>Apărare (cod 60.02.02)</t>
  </si>
  <si>
    <t>60.02</t>
  </si>
  <si>
    <t>Aparare nationala</t>
  </si>
  <si>
    <t>60.02.02</t>
  </si>
  <si>
    <t>Ordine publică şi siguranţă naţională 
(cod 61.02.03 +61.02.05+ 61.02.50)</t>
  </si>
  <si>
    <t>61.02</t>
  </si>
  <si>
    <t>Ordine publică (cod 61.02.03.04)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</si>
  <si>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</si>
  <si>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</si>
  <si>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</si>
  <si>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</si>
  <si>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</si>
  <si>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</si>
  <si>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</si>
  <si>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Partea a III-a CHELTUIELI SOCIAL-CULTURALE
( cod 65.02+66.02+67.02+68.02)</t>
  </si>
  <si>
    <t>63.02</t>
  </si>
  <si>
    <t>Învăţământ
 (cod 65.02.03 la 65.02.05+65.02.07+65.02.11+65.02.50)</t>
  </si>
  <si>
    <t>65.02</t>
  </si>
  <si>
    <t>Învăţământ preşcolar şi primar 
(cod 65.02.03.01+65.02.03.02)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</si>
  <si>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</si>
  <si>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</si>
  <si>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</si>
  <si>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</si>
  <si>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</si>
  <si>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Învăţământ secundar
 (cod 65.02.04.01 la 65.02.04.03)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</si>
  <si>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</si>
  <si>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</si>
  <si>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</si>
  <si>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</si>
  <si>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</si>
  <si>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</si>
  <si>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</si>
  <si>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</si>
  <si>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</si>
  <si>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Învăţământ nedefinibil prin nivel 
(cod 65.02.07.04)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</si>
  <si>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</si>
  <si>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</si>
  <si>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</si>
  <si>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</si>
  <si>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</si>
  <si>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</si>
  <si>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</si>
  <si>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</si>
  <si>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</si>
  <si>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Învățământ antepreșcolar</t>
  </si>
  <si>
    <t>65.02.13</t>
  </si>
  <si>
    <t>Alte cheltuieli în domeniul învăţământului</t>
  </si>
  <si>
    <t>65.02.50</t>
  </si>
  <si>
    <t>Sănătate (cod 66.02.06+66.02.08+66.02.50)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</si>
  <si>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</si>
  <si>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</si>
  <si>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</si>
  <si>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</si>
  <si>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</si>
  <si>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</si>
  <si>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</si>
  <si>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</si>
  <si>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</si>
  <si>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Alte cheltuieli în domeniul sănătăţii
 (cod 66.02.50.50)</t>
  </si>
  <si>
    <t>66.02.50</t>
  </si>
  <si>
    <t xml:space="preserve">    Alte instituţii şi acţiuni sanitare</t>
  </si>
  <si>
    <t>66.02.50.50</t>
  </si>
  <si>
    <t>Cultură, recreere şi religie
 (cod 67.02.03+67.02.05+67.02.06+67.02.50)</t>
  </si>
  <si>
    <t>67.02</t>
  </si>
  <si>
    <t>Servicii culturale (cod 67.02.03.02 la 67.02.03.08+67.02.03.12+67.02.03.30)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</si>
  <si>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</si>
  <si>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</si>
  <si>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</si>
  <si>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</si>
  <si>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</si>
  <si>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</si>
  <si>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</si>
  <si>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</si>
  <si>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</si>
  <si>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</si>
  <si>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</si>
  <si>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</si>
  <si>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</si>
  <si>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</si>
  <si>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</si>
  <si>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</si>
  <si>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</si>
  <si>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 xml:space="preserve">    Alte servicii culturale</t>
  </si>
  <si>
    <t>67.02.03.30</t>
  </si>
  <si>
    <t>Servicii recreative şi sportive 
(cod 67.02.05.01 la 67.02.05.03)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</si>
  <si>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</si>
  <si>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</si>
  <si>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</si>
  <si>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</si>
  <si>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</si>
  <si>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</si>
  <si>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</si>
  <si>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</si>
  <si>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</si>
  <si>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</si>
  <si>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</si>
  <si>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total DAS+66</t>
  </si>
  <si>
    <t>Asigurări şi asistenţă socială 
(cod 68.02.04 la 68.02.06+68.02.10+68.02.11+68.02.12+68.02.15+68.02.50)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</si>
  <si>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</si>
  <si>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</si>
  <si>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</si>
  <si>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</si>
  <si>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</si>
  <si>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</si>
  <si>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</si>
  <si>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</si>
  <si>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</si>
  <si>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</si>
  <si>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</si>
  <si>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</si>
  <si>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</si>
  <si>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</si>
  <si>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</si>
  <si>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Prevenirea excluderii sociale 
(cod 68.02.15.01+68.02.15.02)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</si>
  <si>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</si>
  <si>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</si>
  <si>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</si>
  <si>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</si>
  <si>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</si>
  <si>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</si>
  <si>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</si>
  <si>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Alte cheltuieli în domeniul  asistenţei sociale</t>
  </si>
  <si>
    <t>68.02.50.50</t>
  </si>
  <si>
    <t>Partea a IV-a SERVICII ŞI DEZVOLTARE PUBLICĂ, LOCUINŢE, MEDIU ŞI APE (cod 70.02+74.02)</t>
  </si>
  <si>
    <t>Locuinţe, servicii şi dezvoltare publică 
(cod 70.02.03+70.02.05 la 70.02.07+70.02.50)</t>
  </si>
  <si>
    <t>70.02</t>
  </si>
  <si>
    <t>Locuinţe (cod 70.02.03.01+70.02.03.30)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</si>
  <si>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</si>
  <si>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</si>
  <si>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</si>
  <si>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</si>
  <si>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</si>
  <si>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Alimentări cu apă şi amenajări hidrotehnice 
(cod 70.02.05.01+70.02.05.02)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</si>
  <si>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</si>
  <si>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</si>
  <si>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</si>
  <si>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</si>
  <si>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</si>
  <si>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</si>
  <si>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</si>
  <si>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</si>
  <si>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</si>
  <si>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</si>
  <si>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</si>
  <si>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Protecţia mediului (cod 74.02.03+74.02.05+74.02.06)</t>
  </si>
  <si>
    <t>74.02</t>
  </si>
  <si>
    <t xml:space="preserve">Reducerea şi controlul poluării </t>
  </si>
  <si>
    <t>74.02.03</t>
  </si>
  <si>
    <t>Salubritate şi gestiunea deşeurilor
(cod 74.02.05.01+74.02.05.02)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</si>
  <si>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</si>
  <si>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</si>
  <si>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</si>
  <si>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</si>
  <si>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</si>
  <si>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</si>
  <si>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</si>
  <si>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Partea a V-a ACŢIUNI ECONOMICE  (80.02+81.02+83.02+84.02+87.02)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</si>
  <si>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</si>
  <si>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</si>
  <si>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</si>
  <si>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</si>
  <si>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</si>
  <si>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</si>
  <si>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</si>
  <si>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</si>
  <si>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</si>
  <si>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</si>
  <si>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</si>
  <si>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</si>
  <si>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</si>
  <si>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</si>
  <si>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</si>
  <si>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</si>
  <si>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</si>
  <si>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</si>
  <si>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</si>
  <si>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</si>
  <si>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</si>
  <si>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Agricultură, silvicultură, piscicultură şi vânătoare
 (cod 83.02.03)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</si>
  <si>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</si>
  <si>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</si>
  <si>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</si>
  <si>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</si>
  <si>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</si>
  <si>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</si>
  <si>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</si>
  <si>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</si>
  <si>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</si>
  <si>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Transporturi (cod 84.02.03+84.02.06+84.02.50)</t>
  </si>
  <si>
    <t>84.02</t>
  </si>
  <si>
    <t>Transport rutier (cod 84.02.03.01 la 84.02.03.03)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</si>
  <si>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</si>
  <si>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</si>
  <si>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</si>
  <si>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</si>
  <si>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</si>
  <si>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</si>
  <si>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</si>
  <si>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</si>
  <si>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</si>
  <si>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</si>
  <si>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</si>
  <si>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</si>
  <si>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</si>
  <si>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 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</si>
  <si>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</si>
  <si>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</si>
  <si>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</si>
  <si>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</si>
  <si>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</si>
  <si>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</si>
  <si>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</si>
  <si>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</si>
  <si>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</si>
  <si>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</si>
  <si>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</si>
  <si>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</si>
  <si>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</si>
  <si>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</si>
  <si>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</si>
  <si>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t>99.02</t>
  </si>
  <si>
    <t>Partea I-a SERVICII PUBLICE GENERALE 
(cod 51.02+54.02+55.02+56.02)</t>
  </si>
  <si>
    <t>Autorităţi publice şi acţiuni externe (cod 51.02.01)</t>
  </si>
  <si>
    <t>Autorităţi executive şi legislative (cod 51.02.01.03)</t>
  </si>
  <si>
    <t>Autorităţi executive</t>
  </si>
  <si>
    <t>Alte servicii publice generale (cod 54.02.05 la 54.02.07+54.02.10+54.02.50)</t>
  </si>
  <si>
    <t>Fond de rezervă bugetară la dispoziţia autorităţilor locale</t>
  </si>
  <si>
    <t>Apărare naţională</t>
  </si>
  <si>
    <t>Ordine publică şi siguranţă naţională
 (cod 61.02.03+61.02.05+61.02.50)</t>
  </si>
  <si>
    <t>Învăţământ preşcolar şi primar (cod 65.02.03.01+65.02.03.02)</t>
  </si>
  <si>
    <t>Învăţământ secundar (cod 65.02.04.01 la 65.02.04.03)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</si>
  <si>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</si>
  <si>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</si>
  <si>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</si>
  <si>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>Cultură, recreere şi religie (cod 67.02.03+67.02.05+67.02.06+67.02.50)</t>
  </si>
  <si>
    <t xml:space="preserve">    Biblioteci publice comunale, orăşeneşti, municipale </t>
  </si>
  <si>
    <t>Servicii recreative şi sportive (cod 67.02.05.01 la 67.02.05.03)</t>
  </si>
  <si>
    <t>Alte servicii în domeniile culturii, recreerii si religiei</t>
  </si>
  <si>
    <t xml:space="preserve"> Asigurări şi asistenţă socială (cod 68.02.04 la 68.02.06 +68.02.10+68.02.11+68.02.12+68.02.15+68.02.50)</t>
  </si>
  <si>
    <t>Locuinţe, servicii şi dezvoltare publică (cod 70.02.03+70.02.05 la 70.02.07+70.02.50)</t>
  </si>
  <si>
    <t>Alimentare cu apă şi amenajări hidrotehnice (cod 70.02.05.01+70.02.05.02)</t>
  </si>
  <si>
    <t>Salubritate şi gestiunea deşeurilor (cod 74.02.05.01+74.02.05.02)</t>
  </si>
  <si>
    <t>Acţiuni generale economice şi comerciale (cod 80.02.01.06+ 80.02.01.09+ 80.02.01.10+ 80.02.01.30)</t>
  </si>
  <si>
    <t>Combustibili şi energie
 (cod 81.02.06+81.02.07+81.02.50)</t>
  </si>
  <si>
    <t>Agricultură, silvicultură, piscicultură şi vânătoare 
(cod 83.02.03)</t>
  </si>
  <si>
    <t>Transport rutier 
(cod 84.02.03.01 la cod 84.02.03.03)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</si>
  <si>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</si>
  <si>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</si>
  <si>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</si>
  <si>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</si>
  <si>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t>CHELTUIELILE SECŢIUNII DE DEZVOLTARE 
(cod 50.02+59.02+63.02+70.02+74.02+79.02)</t>
  </si>
  <si>
    <t>Partea I-a SERVICII PUBLICE GENERALE
 (cod 51.02+54.02)</t>
  </si>
  <si>
    <t>Ordine publică şi siguranţă naţională 
(cod 61.02.03+61.02.05+61.02.50)</t>
  </si>
  <si>
    <t>Partea a III-a CHELTUIELI SOCIAL-CULTURALE
 (cod 65.02+66.02+67.02+68.02)</t>
  </si>
  <si>
    <t>Învăţământ 
(cod 65.02.03 la 65.02.05+65.02.07+65.02.11+65.02.50)</t>
  </si>
  <si>
    <t xml:space="preserve">   Învăţământ special</t>
  </si>
  <si>
    <t>Sănătate 
(cod 66.02.06+66.02.08+66.02.50)</t>
  </si>
  <si>
    <t>Alte cheltuieli în domeniul sănătăţii (cod 66.02.50.50)</t>
  </si>
  <si>
    <t>Cultură, recreere şi religie 
(cod 67.02.03+67.02.05+67.02.06+67.02.50)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</si>
  <si>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</si>
  <si>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</si>
  <si>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</si>
  <si>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Partea a IV-a SERVICII ŞI DEZVOLTARE PUBLICĂ, LOCUINŢE, MEDIU ŞI APE
 (cod 70.02+74.02)</t>
  </si>
  <si>
    <t>Alimentări cu apă şi amenajări hidrotehnice (cod 70.02.05.01+70.02.05.02)</t>
  </si>
  <si>
    <t>Salubritate şi gestiunea deşeurilor 
(cod 74.02.05.01+74.02.05.02)</t>
  </si>
  <si>
    <t>Partea aV-a ACŢIUNI ECONOMICE  (80.02+81.02+83.02+84.02+87.02)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</si>
  <si>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</si>
  <si>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</si>
  <si>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</si>
  <si>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</si>
  <si>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</si>
  <si>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</si>
  <si>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</si>
  <si>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</si>
  <si>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</si>
  <si>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</si>
  <si>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DIRECȚIA ECONOMICĂ</t>
  </si>
  <si>
    <t>SERVICIUL BUGET</t>
  </si>
  <si>
    <r>
      <t>Deficit</t>
    </r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(cod 49.02-00.01)</t>
    </r>
  </si>
  <si>
    <r>
      <t>Deficit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(cod 49.02-00.01)</t>
    </r>
  </si>
  <si>
    <r>
      <t xml:space="preserve">DEFICIT </t>
    </r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(cod 49.02-00.01)</t>
    </r>
  </si>
  <si>
    <t xml:space="preserve">CHELTUIELILE SECŢIUNII DE FUNCŢIONARE 
</t>
  </si>
  <si>
    <t>Credite  bugetare  definitive</t>
  </si>
  <si>
    <t>Credite de angajament definitive</t>
  </si>
  <si>
    <t>ANEXA NR. 2 la HCL nr. 171/25.05.2023</t>
  </si>
  <si>
    <t>Vizat spre neschimbare</t>
  </si>
  <si>
    <t xml:space="preserve">Președinte de ședință               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</si>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</sst>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RomHelvetica"/>
      <charset val="238"/>
    </font>
    <font>
      <b/>
      <sz val="7"/>
      <name val="RomHelvetica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6"/>
      <name val="RomHelvetica"/>
      <charset val="238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2"/>
      <name val="Arial"/>
      <family val="2"/>
      <charset val="238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RomHelvetica"/>
    </font>
    <font>
      <sz val="9"/>
      <name val="Arial"/>
      <family val="2"/>
      <charset val="238"/>
    </font>
    <font>
      <sz val="12"/>
      <color theme="5" tint="0.79998168889431442"/>
      <name val="Arial"/>
      <family val="2"/>
    </font>
    <font>
      <b/>
      <sz val="12"/>
      <name val="RomHelvetica"/>
    </font>
    <font>
      <b/>
      <sz val="12"/>
      <color indexed="8"/>
      <name val="Arial"/>
      <family val="2"/>
      <charset val="238"/>
    </font>
    <font>
      <sz val="12"/>
      <name val="RomHelvetica"/>
      <charset val="238"/>
    </font>
    <font>
      <u/>
      <sz val="12"/>
      <name val="Arial"/>
      <family val="2"/>
    </font>
    <font>
      <b/>
      <i/>
      <sz val="8"/>
      <name val="Arial"/>
      <family val="2"/>
    </font>
    <font>
      <sz val="11"/>
      <name val="Arial"/>
      <family val="2"/>
      <charset val="238"/>
    </font>
    <font>
      <b/>
      <sz val="10"/>
      <name val="Calibri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b/>
      <sz val="9"/>
      <name val="RomHelvetica"/>
      <charset val="238"/>
    </font>
    <font>
      <vertAlign val="superscript"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RomHelvetica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0" fontId="5" fillId="0" borderId="0" xfId="0" applyFont="1" applyAlignment="1">
      <alignment vertical="top" wrapText="1"/>
    </xf>
    <xf numFmtId="3" fontId="1" fillId="2" borderId="0" xfId="0" quotePrefix="1" applyNumberFormat="1" applyFont="1" applyFill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center" wrapText="1"/>
    </xf>
    <xf numFmtId="3" fontId="15" fillId="4" borderId="13" xfId="0" applyNumberFormat="1" applyFont="1" applyFill="1" applyBorder="1" applyAlignment="1">
      <alignment horizontal="center" vertical="center" wrapText="1"/>
    </xf>
    <xf numFmtId="3" fontId="16" fillId="4" borderId="13" xfId="0" applyNumberFormat="1" applyFont="1" applyFill="1" applyBorder="1" applyAlignment="1">
      <alignment horizontal="center" vertical="center" wrapText="1"/>
    </xf>
    <xf numFmtId="3" fontId="17" fillId="4" borderId="14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top" wrapText="1"/>
    </xf>
    <xf numFmtId="3" fontId="16" fillId="5" borderId="13" xfId="0" applyNumberFormat="1" applyFont="1" applyFill="1" applyBorder="1" applyAlignment="1">
      <alignment horizontal="right" vertical="top" wrapText="1"/>
    </xf>
    <xf numFmtId="3" fontId="17" fillId="5" borderId="14" xfId="0" applyNumberFormat="1" applyFont="1" applyFill="1" applyBorder="1" applyAlignment="1">
      <alignment horizontal="right" vertical="top" wrapText="1"/>
    </xf>
    <xf numFmtId="0" fontId="2" fillId="6" borderId="13" xfId="0" quotePrefix="1" applyFont="1" applyFill="1" applyBorder="1" applyAlignment="1">
      <alignment horizontal="center" vertical="top" wrapText="1"/>
    </xf>
    <xf numFmtId="3" fontId="16" fillId="6" borderId="13" xfId="0" applyNumberFormat="1" applyFont="1" applyFill="1" applyBorder="1" applyAlignment="1">
      <alignment horizontal="right" vertical="top" wrapText="1"/>
    </xf>
    <xf numFmtId="3" fontId="17" fillId="6" borderId="14" xfId="0" applyNumberFormat="1" applyFont="1" applyFill="1" applyBorder="1" applyAlignment="1">
      <alignment horizontal="right" vertical="top" wrapText="1"/>
    </xf>
    <xf numFmtId="0" fontId="18" fillId="7" borderId="13" xfId="0" quotePrefix="1" applyFont="1" applyFill="1" applyBorder="1" applyAlignment="1">
      <alignment horizontal="center" vertical="top" wrapText="1"/>
    </xf>
    <xf numFmtId="3" fontId="19" fillId="7" borderId="13" xfId="0" applyNumberFormat="1" applyFont="1" applyFill="1" applyBorder="1" applyAlignment="1">
      <alignment horizontal="right" vertical="top" wrapText="1"/>
    </xf>
    <xf numFmtId="3" fontId="20" fillId="7" borderId="14" xfId="0" applyNumberFormat="1" applyFont="1" applyFill="1" applyBorder="1" applyAlignment="1">
      <alignment horizontal="right" vertical="top" wrapText="1"/>
    </xf>
    <xf numFmtId="0" fontId="8" fillId="0" borderId="13" xfId="0" quotePrefix="1" applyFont="1" applyBorder="1" applyAlignment="1">
      <alignment horizontal="center" vertical="top" wrapText="1"/>
    </xf>
    <xf numFmtId="3" fontId="21" fillId="0" borderId="13" xfId="0" applyNumberFormat="1" applyFont="1" applyBorder="1" applyAlignment="1">
      <alignment horizontal="right" vertical="top" wrapText="1"/>
    </xf>
    <xf numFmtId="3" fontId="8" fillId="0" borderId="13" xfId="0" applyNumberFormat="1" applyFont="1" applyBorder="1" applyAlignment="1">
      <alignment horizontal="right" vertical="top" wrapText="1"/>
    </xf>
    <xf numFmtId="3" fontId="22" fillId="0" borderId="14" xfId="0" applyNumberFormat="1" applyFont="1" applyBorder="1" applyAlignment="1">
      <alignment horizontal="right" vertical="top" wrapText="1"/>
    </xf>
    <xf numFmtId="3" fontId="21" fillId="8" borderId="13" xfId="0" applyNumberFormat="1" applyFont="1" applyFill="1" applyBorder="1" applyAlignment="1">
      <alignment horizontal="right" vertical="top" wrapText="1"/>
    </xf>
    <xf numFmtId="3" fontId="17" fillId="6" borderId="13" xfId="0" applyNumberFormat="1" applyFont="1" applyFill="1" applyBorder="1" applyAlignment="1">
      <alignment horizontal="right" vertical="top" wrapText="1"/>
    </xf>
    <xf numFmtId="3" fontId="21" fillId="0" borderId="13" xfId="0" applyNumberFormat="1" applyFont="1" applyBorder="1" applyAlignment="1">
      <alignment horizontal="center" vertical="top" wrapText="1"/>
    </xf>
    <xf numFmtId="3" fontId="23" fillId="0" borderId="13" xfId="0" applyNumberFormat="1" applyFont="1" applyBorder="1" applyAlignment="1">
      <alignment horizontal="center" vertical="top" wrapText="1"/>
    </xf>
    <xf numFmtId="3" fontId="23" fillId="0" borderId="13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vertical="top" wrapText="1"/>
    </xf>
    <xf numFmtId="3" fontId="22" fillId="0" borderId="13" xfId="0" applyNumberFormat="1" applyFont="1" applyBorder="1" applyAlignment="1">
      <alignment vertical="top"/>
    </xf>
    <xf numFmtId="3" fontId="22" fillId="0" borderId="14" xfId="0" applyNumberFormat="1" applyFont="1" applyBorder="1"/>
    <xf numFmtId="0" fontId="8" fillId="0" borderId="13" xfId="0" applyFont="1" applyBorder="1" applyAlignment="1">
      <alignment horizontal="center" vertical="top" wrapText="1"/>
    </xf>
    <xf numFmtId="3" fontId="20" fillId="7" borderId="13" xfId="0" applyNumberFormat="1" applyFont="1" applyFill="1" applyBorder="1" applyAlignment="1">
      <alignment horizontal="right" vertical="top" wrapText="1"/>
    </xf>
    <xf numFmtId="0" fontId="24" fillId="8" borderId="15" xfId="0" applyFont="1" applyFill="1" applyBorder="1" applyAlignment="1">
      <alignment vertical="center" wrapText="1"/>
    </xf>
    <xf numFmtId="3" fontId="22" fillId="0" borderId="13" xfId="0" applyNumberFormat="1" applyFont="1" applyBorder="1" applyAlignment="1">
      <alignment horizontal="right" vertical="top" wrapText="1"/>
    </xf>
    <xf numFmtId="3" fontId="21" fillId="2" borderId="13" xfId="0" applyNumberFormat="1" applyFont="1" applyFill="1" applyBorder="1" applyAlignment="1">
      <alignment horizontal="right" vertical="top" wrapText="1"/>
    </xf>
    <xf numFmtId="3" fontId="25" fillId="8" borderId="13" xfId="0" applyNumberFormat="1" applyFont="1" applyFill="1" applyBorder="1" applyAlignment="1">
      <alignment horizontal="right" vertical="top" wrapText="1"/>
    </xf>
    <xf numFmtId="3" fontId="16" fillId="0" borderId="13" xfId="0" applyNumberFormat="1" applyFont="1" applyBorder="1" applyAlignment="1">
      <alignment horizontal="right" vertical="top" wrapText="1"/>
    </xf>
    <xf numFmtId="3" fontId="17" fillId="0" borderId="14" xfId="0" applyNumberFormat="1" applyFont="1" applyBorder="1" applyAlignment="1">
      <alignment horizontal="right" vertical="top" wrapText="1"/>
    </xf>
    <xf numFmtId="3" fontId="15" fillId="5" borderId="13" xfId="0" applyNumberFormat="1" applyFont="1" applyFill="1" applyBorder="1" applyAlignment="1">
      <alignment horizontal="right" vertical="top" wrapText="1"/>
    </xf>
    <xf numFmtId="3" fontId="15" fillId="6" borderId="13" xfId="0" applyNumberFormat="1" applyFont="1" applyFill="1" applyBorder="1" applyAlignment="1">
      <alignment horizontal="right" vertical="top" wrapText="1"/>
    </xf>
    <xf numFmtId="3" fontId="2" fillId="5" borderId="13" xfId="0" applyNumberFormat="1" applyFont="1" applyFill="1" applyBorder="1" applyAlignment="1">
      <alignment horizontal="right" vertical="top" wrapText="1"/>
    </xf>
    <xf numFmtId="3" fontId="21" fillId="5" borderId="13" xfId="0" applyNumberFormat="1" applyFont="1" applyFill="1" applyBorder="1" applyAlignment="1">
      <alignment horizontal="center" vertical="top" wrapText="1"/>
    </xf>
    <xf numFmtId="3" fontId="23" fillId="5" borderId="13" xfId="0" applyNumberFormat="1" applyFont="1" applyFill="1" applyBorder="1" applyAlignment="1">
      <alignment horizontal="center" vertical="top" wrapText="1"/>
    </xf>
    <xf numFmtId="3" fontId="23" fillId="5" borderId="13" xfId="0" applyNumberFormat="1" applyFont="1" applyFill="1" applyBorder="1" applyAlignment="1">
      <alignment horizontal="center" vertical="center" wrapText="1"/>
    </xf>
    <xf numFmtId="3" fontId="23" fillId="5" borderId="13" xfId="0" applyNumberFormat="1" applyFont="1" applyFill="1" applyBorder="1" applyAlignment="1">
      <alignment vertical="top" wrapText="1"/>
    </xf>
    <xf numFmtId="3" fontId="21" fillId="5" borderId="13" xfId="0" applyNumberFormat="1" applyFont="1" applyFill="1" applyBorder="1" applyAlignment="1">
      <alignment vertical="top" wrapText="1"/>
    </xf>
    <xf numFmtId="3" fontId="22" fillId="5" borderId="13" xfId="0" applyNumberFormat="1" applyFont="1" applyFill="1" applyBorder="1" applyAlignment="1">
      <alignment vertical="top"/>
    </xf>
    <xf numFmtId="3" fontId="22" fillId="5" borderId="14" xfId="0" applyNumberFormat="1" applyFont="1" applyFill="1" applyBorder="1"/>
    <xf numFmtId="0" fontId="8" fillId="0" borderId="13" xfId="0" quotePrefix="1" applyFont="1" applyBorder="1" applyAlignment="1">
      <alignment horizontal="center" vertical="top"/>
    </xf>
    <xf numFmtId="3" fontId="22" fillId="0" borderId="13" xfId="0" applyNumberFormat="1" applyFont="1" applyBorder="1" applyAlignment="1">
      <alignment horizontal="center" vertical="top"/>
    </xf>
    <xf numFmtId="3" fontId="22" fillId="0" borderId="13" xfId="0" applyNumberFormat="1" applyFont="1" applyBorder="1"/>
    <xf numFmtId="3" fontId="22" fillId="0" borderId="13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3" fontId="16" fillId="4" borderId="16" xfId="0" applyNumberFormat="1" applyFont="1" applyFill="1" applyBorder="1" applyAlignment="1">
      <alignment horizontal="right" vertical="center" wrapText="1"/>
    </xf>
    <xf numFmtId="3" fontId="16" fillId="4" borderId="17" xfId="0" applyNumberFormat="1" applyFont="1" applyFill="1" applyBorder="1" applyAlignment="1">
      <alignment horizontal="right" vertical="center" wrapText="1"/>
    </xf>
    <xf numFmtId="3" fontId="15" fillId="4" borderId="16" xfId="0" applyNumberFormat="1" applyFont="1" applyFill="1" applyBorder="1" applyAlignment="1">
      <alignment horizontal="right" vertical="center" wrapText="1"/>
    </xf>
    <xf numFmtId="3" fontId="17" fillId="4" borderId="16" xfId="0" applyNumberFormat="1" applyFont="1" applyFill="1" applyBorder="1" applyAlignment="1">
      <alignment horizontal="right" vertical="center" wrapText="1"/>
    </xf>
    <xf numFmtId="0" fontId="2" fillId="5" borderId="10" xfId="0" applyFont="1" applyFill="1" applyBorder="1" applyAlignment="1">
      <alignment horizontal="center" vertical="top" wrapText="1"/>
    </xf>
    <xf numFmtId="3" fontId="16" fillId="5" borderId="10" xfId="0" applyNumberFormat="1" applyFont="1" applyFill="1" applyBorder="1" applyAlignment="1">
      <alignment horizontal="right" vertical="center" wrapText="1"/>
    </xf>
    <xf numFmtId="3" fontId="16" fillId="5" borderId="13" xfId="0" applyNumberFormat="1" applyFont="1" applyFill="1" applyBorder="1" applyAlignment="1">
      <alignment horizontal="right" vertical="center" wrapText="1"/>
    </xf>
    <xf numFmtId="3" fontId="17" fillId="5" borderId="11" xfId="0" applyNumberFormat="1" applyFont="1" applyFill="1" applyBorder="1" applyAlignment="1">
      <alignment horizontal="right" vertical="center" wrapText="1"/>
    </xf>
    <xf numFmtId="3" fontId="16" fillId="6" borderId="13" xfId="0" applyNumberFormat="1" applyFont="1" applyFill="1" applyBorder="1" applyAlignment="1">
      <alignment horizontal="right" vertical="center" wrapText="1"/>
    </xf>
    <xf numFmtId="3" fontId="17" fillId="6" borderId="14" xfId="0" applyNumberFormat="1" applyFont="1" applyFill="1" applyBorder="1" applyAlignment="1">
      <alignment horizontal="right" vertical="center" wrapText="1"/>
    </xf>
    <xf numFmtId="3" fontId="19" fillId="7" borderId="13" xfId="0" applyNumberFormat="1" applyFont="1" applyFill="1" applyBorder="1" applyAlignment="1">
      <alignment horizontal="right" vertical="center" wrapText="1"/>
    </xf>
    <xf numFmtId="3" fontId="20" fillId="7" borderId="14" xfId="0" applyNumberFormat="1" applyFont="1" applyFill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3" fontId="23" fillId="9" borderId="13" xfId="0" applyNumberFormat="1" applyFont="1" applyFill="1" applyBorder="1" applyAlignment="1">
      <alignment horizontal="right" vertical="center" wrapText="1"/>
    </xf>
    <xf numFmtId="3" fontId="22" fillId="9" borderId="14" xfId="0" applyNumberFormat="1" applyFont="1" applyFill="1" applyBorder="1" applyAlignment="1">
      <alignment horizontal="right" vertical="center"/>
    </xf>
    <xf numFmtId="3" fontId="16" fillId="6" borderId="13" xfId="0" applyNumberFormat="1" applyFont="1" applyFill="1" applyBorder="1" applyAlignment="1">
      <alignment vertical="center" wrapText="1"/>
    </xf>
    <xf numFmtId="3" fontId="17" fillId="6" borderId="14" xfId="0" applyNumberFormat="1" applyFont="1" applyFill="1" applyBorder="1" applyAlignment="1">
      <alignment vertical="center" wrapText="1"/>
    </xf>
    <xf numFmtId="3" fontId="23" fillId="0" borderId="13" xfId="0" applyNumberFormat="1" applyFont="1" applyBorder="1" applyAlignment="1">
      <alignment horizontal="right" vertical="center" wrapText="1"/>
    </xf>
    <xf numFmtId="3" fontId="22" fillId="0" borderId="14" xfId="0" applyNumberFormat="1" applyFont="1" applyBorder="1" applyAlignment="1">
      <alignment horizontal="center" vertical="center"/>
    </xf>
    <xf numFmtId="3" fontId="22" fillId="9" borderId="13" xfId="0" applyNumberFormat="1" applyFont="1" applyFill="1" applyBorder="1" applyAlignment="1">
      <alignment horizontal="right" vertical="top"/>
    </xf>
    <xf numFmtId="3" fontId="16" fillId="6" borderId="13" xfId="0" applyNumberFormat="1" applyFont="1" applyFill="1" applyBorder="1" applyAlignment="1">
      <alignment horizontal="center" vertical="center" wrapText="1"/>
    </xf>
    <xf numFmtId="3" fontId="26" fillId="6" borderId="13" xfId="0" applyNumberFormat="1" applyFont="1" applyFill="1" applyBorder="1" applyAlignment="1">
      <alignment horizontal="right" vertical="center" wrapText="1"/>
    </xf>
    <xf numFmtId="3" fontId="27" fillId="6" borderId="14" xfId="0" applyNumberFormat="1" applyFont="1" applyFill="1" applyBorder="1" applyAlignment="1">
      <alignment horizontal="right" vertical="center"/>
    </xf>
    <xf numFmtId="3" fontId="17" fillId="5" borderId="14" xfId="0" applyNumberFormat="1" applyFont="1" applyFill="1" applyBorder="1" applyAlignment="1">
      <alignment horizontal="right" vertical="center" wrapText="1"/>
    </xf>
    <xf numFmtId="3" fontId="22" fillId="0" borderId="14" xfId="0" applyNumberFormat="1" applyFont="1" applyBorder="1" applyAlignment="1">
      <alignment horizontal="right" vertical="center"/>
    </xf>
    <xf numFmtId="3" fontId="19" fillId="7" borderId="13" xfId="0" applyNumberFormat="1" applyFont="1" applyFill="1" applyBorder="1" applyAlignment="1">
      <alignment vertical="center" wrapText="1"/>
    </xf>
    <xf numFmtId="3" fontId="20" fillId="7" borderId="14" xfId="0" applyNumberFormat="1" applyFont="1" applyFill="1" applyBorder="1" applyAlignment="1">
      <alignment vertical="center" wrapText="1"/>
    </xf>
    <xf numFmtId="3" fontId="23" fillId="7" borderId="13" xfId="0" applyNumberFormat="1" applyFont="1" applyFill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/>
    </xf>
    <xf numFmtId="3" fontId="2" fillId="6" borderId="13" xfId="0" applyNumberFormat="1" applyFont="1" applyFill="1" applyBorder="1" applyAlignment="1">
      <alignment horizontal="right" vertical="center" wrapText="1"/>
    </xf>
    <xf numFmtId="3" fontId="18" fillId="7" borderId="13" xfId="0" applyNumberFormat="1" applyFont="1" applyFill="1" applyBorder="1" applyAlignment="1">
      <alignment horizontal="right" vertical="center" wrapText="1"/>
    </xf>
    <xf numFmtId="3" fontId="1" fillId="8" borderId="13" xfId="0" applyNumberFormat="1" applyFont="1" applyFill="1" applyBorder="1" applyAlignment="1">
      <alignment horizontal="right" vertical="top"/>
    </xf>
    <xf numFmtId="3" fontId="17" fillId="6" borderId="13" xfId="0" applyNumberFormat="1" applyFont="1" applyFill="1" applyBorder="1" applyAlignment="1">
      <alignment horizontal="right" vertical="center" wrapText="1"/>
    </xf>
    <xf numFmtId="3" fontId="23" fillId="0" borderId="13" xfId="0" applyNumberFormat="1" applyFont="1" applyBorder="1" applyAlignment="1">
      <alignment vertical="center" wrapText="1"/>
    </xf>
    <xf numFmtId="3" fontId="22" fillId="0" borderId="14" xfId="0" applyNumberFormat="1" applyFont="1" applyBorder="1" applyAlignment="1">
      <alignment vertical="center"/>
    </xf>
    <xf numFmtId="3" fontId="23" fillId="2" borderId="13" xfId="0" applyNumberFormat="1" applyFont="1" applyFill="1" applyBorder="1" applyAlignment="1">
      <alignment horizontal="center" vertical="center" wrapText="1"/>
    </xf>
    <xf numFmtId="3" fontId="20" fillId="7" borderId="13" xfId="0" applyNumberFormat="1" applyFont="1" applyFill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center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29" fillId="0" borderId="13" xfId="0" applyNumberFormat="1" applyFont="1" applyBorder="1" applyAlignment="1">
      <alignment horizontal="center" vertical="center" wrapText="1"/>
    </xf>
    <xf numFmtId="3" fontId="22" fillId="9" borderId="14" xfId="0" applyNumberFormat="1" applyFont="1" applyFill="1" applyBorder="1" applyAlignment="1">
      <alignment horizontal="center" vertical="center"/>
    </xf>
    <xf numFmtId="3" fontId="23" fillId="0" borderId="18" xfId="0" applyNumberFormat="1" applyFont="1" applyBorder="1" applyAlignment="1">
      <alignment horizontal="right" vertical="center" wrapText="1"/>
    </xf>
    <xf numFmtId="3" fontId="26" fillId="5" borderId="13" xfId="0" applyNumberFormat="1" applyFont="1" applyFill="1" applyBorder="1" applyAlignment="1">
      <alignment horizontal="right" vertical="center" wrapText="1"/>
    </xf>
    <xf numFmtId="3" fontId="17" fillId="5" borderId="13" xfId="0" applyNumberFormat="1" applyFont="1" applyFill="1" applyBorder="1" applyAlignment="1">
      <alignment horizontal="right" vertical="top"/>
    </xf>
    <xf numFmtId="3" fontId="17" fillId="5" borderId="14" xfId="0" applyNumberFormat="1" applyFont="1" applyFill="1" applyBorder="1" applyAlignment="1">
      <alignment horizontal="right" vertical="center"/>
    </xf>
    <xf numFmtId="0" fontId="8" fillId="0" borderId="6" xfId="0" quotePrefix="1" applyFont="1" applyBorder="1" applyAlignment="1">
      <alignment horizontal="center" vertical="top"/>
    </xf>
    <xf numFmtId="3" fontId="22" fillId="0" borderId="6" xfId="0" applyNumberFormat="1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vertical="top"/>
    </xf>
    <xf numFmtId="3" fontId="22" fillId="0" borderId="8" xfId="0" applyNumberFormat="1" applyFont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right" vertical="center" wrapText="1"/>
    </xf>
    <xf numFmtId="3" fontId="16" fillId="4" borderId="2" xfId="0" applyNumberFormat="1" applyFont="1" applyFill="1" applyBorder="1" applyAlignment="1">
      <alignment horizontal="right" vertical="center" wrapText="1"/>
    </xf>
    <xf numFmtId="3" fontId="17" fillId="4" borderId="4" xfId="0" applyNumberFormat="1" applyFont="1" applyFill="1" applyBorder="1" applyAlignment="1">
      <alignment horizontal="right" vertical="center" wrapText="1"/>
    </xf>
    <xf numFmtId="3" fontId="8" fillId="0" borderId="13" xfId="0" quotePrefix="1" applyNumberFormat="1" applyFont="1" applyBorder="1" applyAlignment="1">
      <alignment horizontal="center" vertical="top" wrapText="1"/>
    </xf>
    <xf numFmtId="3" fontId="2" fillId="6" borderId="13" xfId="0" quotePrefix="1" applyNumberFormat="1" applyFont="1" applyFill="1" applyBorder="1" applyAlignment="1">
      <alignment horizontal="center" vertical="top" wrapText="1"/>
    </xf>
    <xf numFmtId="3" fontId="18" fillId="7" borderId="13" xfId="0" quotePrefix="1" applyNumberFormat="1" applyFont="1" applyFill="1" applyBorder="1" applyAlignment="1">
      <alignment horizontal="center" vertical="top" wrapText="1"/>
    </xf>
    <xf numFmtId="3" fontId="19" fillId="7" borderId="14" xfId="0" applyNumberFormat="1" applyFont="1" applyFill="1" applyBorder="1" applyAlignment="1">
      <alignment horizontal="right" vertical="center" wrapText="1"/>
    </xf>
    <xf numFmtId="3" fontId="16" fillId="6" borderId="14" xfId="0" applyNumberFormat="1" applyFont="1" applyFill="1" applyBorder="1" applyAlignment="1">
      <alignment horizontal="right" vertical="center" wrapText="1"/>
    </xf>
    <xf numFmtId="3" fontId="8" fillId="0" borderId="13" xfId="0" applyNumberFormat="1" applyFont="1" applyBorder="1" applyAlignment="1">
      <alignment horizontal="center" vertical="top" wrapText="1"/>
    </xf>
    <xf numFmtId="3" fontId="15" fillId="5" borderId="13" xfId="0" applyNumberFormat="1" applyFont="1" applyFill="1" applyBorder="1" applyAlignment="1">
      <alignment horizontal="right" vertical="center" wrapText="1"/>
    </xf>
    <xf numFmtId="3" fontId="16" fillId="5" borderId="14" xfId="0" applyNumberFormat="1" applyFont="1" applyFill="1" applyBorder="1" applyAlignment="1">
      <alignment horizontal="right" vertical="center" wrapText="1"/>
    </xf>
    <xf numFmtId="0" fontId="7" fillId="6" borderId="13" xfId="0" quotePrefix="1" applyFont="1" applyFill="1" applyBorder="1" applyAlignment="1">
      <alignment horizontal="center" vertical="top" wrapText="1"/>
    </xf>
    <xf numFmtId="0" fontId="30" fillId="7" borderId="13" xfId="0" quotePrefix="1" applyFont="1" applyFill="1" applyBorder="1" applyAlignment="1">
      <alignment horizontal="center" vertical="top" wrapText="1"/>
    </xf>
    <xf numFmtId="0" fontId="11" fillId="0" borderId="13" xfId="0" quotePrefix="1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3" fontId="29" fillId="0" borderId="13" xfId="0" applyNumberFormat="1" applyFont="1" applyBorder="1" applyAlignment="1">
      <alignment horizontal="right" vertical="center" wrapText="1"/>
    </xf>
    <xf numFmtId="3" fontId="15" fillId="6" borderId="13" xfId="0" applyNumberFormat="1" applyFont="1" applyFill="1" applyBorder="1" applyAlignment="1">
      <alignment horizontal="right" vertical="center" wrapText="1"/>
    </xf>
    <xf numFmtId="3" fontId="21" fillId="8" borderId="13" xfId="0" applyNumberFormat="1" applyFont="1" applyFill="1" applyBorder="1" applyAlignment="1">
      <alignment horizontal="right" vertical="center" wrapText="1"/>
    </xf>
    <xf numFmtId="3" fontId="21" fillId="5" borderId="13" xfId="0" applyNumberFormat="1" applyFont="1" applyFill="1" applyBorder="1" applyAlignment="1">
      <alignment horizontal="right" vertical="center" wrapText="1"/>
    </xf>
    <xf numFmtId="3" fontId="23" fillId="5" borderId="13" xfId="0" applyNumberFormat="1" applyFont="1" applyFill="1" applyBorder="1" applyAlignment="1">
      <alignment horizontal="right" vertical="center" wrapText="1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14" xfId="0" applyNumberFormat="1" applyFont="1" applyFill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top"/>
    </xf>
    <xf numFmtId="3" fontId="22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 wrapText="1"/>
    </xf>
    <xf numFmtId="3" fontId="23" fillId="0" borderId="6" xfId="0" applyNumberFormat="1" applyFont="1" applyBorder="1" applyAlignment="1">
      <alignment horizontal="right" vertical="center" wrapText="1"/>
    </xf>
    <xf numFmtId="3" fontId="22" fillId="0" borderId="6" xfId="0" applyNumberFormat="1" applyFont="1" applyBorder="1" applyAlignment="1">
      <alignment horizontal="right" vertical="top"/>
    </xf>
    <xf numFmtId="3" fontId="22" fillId="0" borderId="8" xfId="0" applyNumberFormat="1" applyFont="1" applyBorder="1" applyAlignment="1">
      <alignment horizontal="right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2" fillId="0" borderId="0" xfId="0" applyFont="1"/>
    <xf numFmtId="0" fontId="21" fillId="0" borderId="0" xfId="0" applyFont="1"/>
    <xf numFmtId="0" fontId="33" fillId="4" borderId="12" xfId="0" applyFont="1" applyFill="1" applyBorder="1" applyAlignment="1">
      <alignment horizontal="center" vertical="top" wrapText="1"/>
    </xf>
    <xf numFmtId="0" fontId="33" fillId="5" borderId="12" xfId="0" applyFont="1" applyFill="1" applyBorder="1" applyAlignment="1">
      <alignment horizontal="center" vertical="top" wrapText="1"/>
    </xf>
    <xf numFmtId="0" fontId="33" fillId="6" borderId="12" xfId="0" applyFont="1" applyFill="1" applyBorder="1" applyAlignment="1">
      <alignment horizontal="center" vertical="top" wrapText="1"/>
    </xf>
    <xf numFmtId="0" fontId="34" fillId="7" borderId="12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vertical="top" wrapText="1"/>
    </xf>
    <xf numFmtId="0" fontId="34" fillId="7" borderId="12" xfId="0" applyFont="1" applyFill="1" applyBorder="1" applyAlignment="1">
      <alignment vertical="top" wrapText="1"/>
    </xf>
    <xf numFmtId="0" fontId="24" fillId="0" borderId="12" xfId="0" applyFont="1" applyBorder="1" applyAlignment="1">
      <alignment horizontal="center" vertical="top" wrapText="1"/>
    </xf>
    <xf numFmtId="0" fontId="35" fillId="0" borderId="12" xfId="0" applyFont="1" applyBorder="1" applyAlignment="1">
      <alignment horizontal="right" vertical="center" wrapText="1"/>
    </xf>
    <xf numFmtId="0" fontId="36" fillId="0" borderId="12" xfId="0" applyFont="1" applyBorder="1" applyAlignment="1">
      <alignment vertical="top" wrapText="1"/>
    </xf>
    <xf numFmtId="0" fontId="36" fillId="0" borderId="13" xfId="0" applyFont="1" applyBorder="1" applyAlignment="1">
      <alignment horizontal="left" wrapText="1"/>
    </xf>
    <xf numFmtId="0" fontId="33" fillId="5" borderId="9" xfId="0" applyFont="1" applyFill="1" applyBorder="1" applyAlignment="1">
      <alignment horizontal="center" vertical="top" wrapText="1"/>
    </xf>
    <xf numFmtId="0" fontId="36" fillId="0" borderId="5" xfId="0" applyFont="1" applyBorder="1" applyAlignment="1">
      <alignment horizontal="left" wrapText="1"/>
    </xf>
    <xf numFmtId="0" fontId="33" fillId="4" borderId="20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horizontal="left" vertical="justify" wrapText="1"/>
    </xf>
    <xf numFmtId="0" fontId="34" fillId="7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0" fontId="11" fillId="8" borderId="15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top" wrapText="1"/>
    </xf>
    <xf numFmtId="0" fontId="11" fillId="0" borderId="13" xfId="0" quotePrefix="1" applyFont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11" fillId="2" borderId="13" xfId="0" quotePrefix="1" applyFont="1" applyFill="1" applyBorder="1" applyAlignment="1">
      <alignment horizontal="center" vertical="top" wrapText="1"/>
    </xf>
    <xf numFmtId="0" fontId="11" fillId="0" borderId="6" xfId="0" quotePrefix="1" applyFont="1" applyBorder="1" applyAlignment="1">
      <alignment horizontal="center" vertical="top"/>
    </xf>
    <xf numFmtId="0" fontId="7" fillId="4" borderId="21" xfId="0" applyFont="1" applyFill="1" applyBorder="1" applyAlignment="1">
      <alignment horizontal="center" vertical="top" wrapText="1"/>
    </xf>
    <xf numFmtId="3" fontId="31" fillId="0" borderId="13" xfId="0" applyNumberFormat="1" applyFont="1" applyBorder="1" applyAlignment="1">
      <alignment horizontal="right" vertical="top"/>
    </xf>
    <xf numFmtId="3" fontId="22" fillId="0" borderId="13" xfId="0" applyNumberFormat="1" applyFont="1" applyBorder="1" applyAlignment="1">
      <alignment horizontal="right" vertical="center" wrapText="1"/>
    </xf>
    <xf numFmtId="3" fontId="28" fillId="0" borderId="13" xfId="0" applyNumberFormat="1" applyFont="1" applyBorder="1" applyAlignment="1">
      <alignment horizontal="right" vertical="center" wrapText="1"/>
    </xf>
    <xf numFmtId="3" fontId="22" fillId="0" borderId="13" xfId="0" quotePrefix="1" applyNumberFormat="1" applyFont="1" applyBorder="1" applyAlignment="1">
      <alignment horizontal="right" vertical="top" wrapText="1"/>
    </xf>
    <xf numFmtId="3" fontId="22" fillId="0" borderId="13" xfId="0" quotePrefix="1" applyNumberFormat="1" applyFont="1" applyBorder="1" applyAlignment="1">
      <alignment horizontal="center" vertical="center" wrapText="1"/>
    </xf>
    <xf numFmtId="3" fontId="21" fillId="0" borderId="13" xfId="0" quotePrefix="1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right" vertical="top"/>
    </xf>
    <xf numFmtId="3" fontId="16" fillId="6" borderId="14" xfId="0" applyNumberFormat="1" applyFont="1" applyFill="1" applyBorder="1" applyAlignment="1">
      <alignment horizontal="right" vertical="top" wrapText="1"/>
    </xf>
    <xf numFmtId="3" fontId="19" fillId="7" borderId="14" xfId="0" applyNumberFormat="1" applyFont="1" applyFill="1" applyBorder="1" applyAlignment="1">
      <alignment horizontal="right" vertical="top" wrapText="1"/>
    </xf>
    <xf numFmtId="3" fontId="21" fillId="0" borderId="14" xfId="0" applyNumberFormat="1" applyFont="1" applyBorder="1" applyAlignment="1">
      <alignment horizontal="right" vertical="top" wrapText="1"/>
    </xf>
    <xf numFmtId="0" fontId="38" fillId="4" borderId="16" xfId="0" applyFont="1" applyFill="1" applyBorder="1" applyAlignment="1">
      <alignment horizontal="center" vertical="top" wrapText="1"/>
    </xf>
    <xf numFmtId="3" fontId="16" fillId="4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" fontId="7" fillId="3" borderId="3" xfId="1" applyNumberFormat="1" applyFont="1" applyFill="1" applyBorder="1" applyAlignment="1">
      <alignment horizontal="center" vertical="center" wrapText="1"/>
    </xf>
    <xf numFmtId="1" fontId="7" fillId="3" borderId="7" xfId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9" fillId="0" borderId="0" xfId="0" applyFont="1" applyAlignment="1">
      <alignment wrapText="1"/>
    </xf>
  </cellXfs>
  <cellStyles count="3">
    <cellStyle name="Normal" xfId="0" builtinId="0"/>
    <cellStyle name="Normal_mach03" xfId="1" xr:uid="{DC4C41B8-5C98-4E47-A0BA-EAD45DD33716}"/>
    <cellStyle name="Normal_mach31" xfId="2" xr:uid="{62CB3BD7-86D5-4FB2-8429-44A0462A6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0">
          <cell r="C10">
            <v>225394312</v>
          </cell>
          <cell r="D10">
            <v>169108212</v>
          </cell>
          <cell r="E10">
            <v>479883312</v>
          </cell>
          <cell r="F10">
            <v>436776483</v>
          </cell>
          <cell r="G10">
            <v>393682773</v>
          </cell>
          <cell r="H10">
            <v>393682773</v>
          </cell>
          <cell r="I10">
            <v>393682773</v>
          </cell>
          <cell r="J10">
            <v>0</v>
          </cell>
          <cell r="K10">
            <v>323685537</v>
          </cell>
        </row>
        <row r="165">
          <cell r="E165">
            <v>3245804</v>
          </cell>
          <cell r="F165">
            <v>5523240</v>
          </cell>
          <cell r="G165">
            <v>5147275</v>
          </cell>
          <cell r="H165">
            <v>5147275</v>
          </cell>
          <cell r="I165">
            <v>5147275</v>
          </cell>
          <cell r="J165">
            <v>0</v>
          </cell>
          <cell r="K165">
            <v>5256544</v>
          </cell>
        </row>
        <row r="166">
          <cell r="E166">
            <v>681196</v>
          </cell>
          <cell r="F166">
            <v>1094217</v>
          </cell>
          <cell r="G166">
            <v>1094197</v>
          </cell>
          <cell r="H166">
            <v>1094197</v>
          </cell>
          <cell r="I166">
            <v>1094197</v>
          </cell>
          <cell r="J166">
            <v>0</v>
          </cell>
          <cell r="K166">
            <v>1075607</v>
          </cell>
        </row>
        <row r="167">
          <cell r="E167">
            <v>23739000</v>
          </cell>
          <cell r="F167">
            <v>32462212</v>
          </cell>
          <cell r="G167">
            <v>30261622</v>
          </cell>
          <cell r="H167">
            <v>30261622</v>
          </cell>
          <cell r="I167">
            <v>30261622</v>
          </cell>
          <cell r="J167">
            <v>0</v>
          </cell>
          <cell r="K167">
            <v>29490017</v>
          </cell>
        </row>
        <row r="168">
          <cell r="E168">
            <v>5763518</v>
          </cell>
          <cell r="F168">
            <v>9413771</v>
          </cell>
          <cell r="G168">
            <v>9170166</v>
          </cell>
          <cell r="H168">
            <v>9170166</v>
          </cell>
          <cell r="I168">
            <v>9170166</v>
          </cell>
          <cell r="J168">
            <v>0</v>
          </cell>
          <cell r="K168">
            <v>8824415</v>
          </cell>
        </row>
        <row r="169">
          <cell r="E169">
            <v>17975482</v>
          </cell>
          <cell r="F169">
            <v>23048441</v>
          </cell>
          <cell r="G169">
            <v>21091456</v>
          </cell>
          <cell r="H169">
            <v>21091456</v>
          </cell>
          <cell r="I169">
            <v>21091456</v>
          </cell>
          <cell r="J169">
            <v>0</v>
          </cell>
          <cell r="K169">
            <v>20665602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J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</row>
        <row r="176">
          <cell r="J176">
            <v>0</v>
          </cell>
        </row>
        <row r="177">
          <cell r="E177">
            <v>4770000</v>
          </cell>
          <cell r="F177">
            <v>2015000</v>
          </cell>
          <cell r="G177">
            <v>1989365</v>
          </cell>
          <cell r="H177">
            <v>1989365</v>
          </cell>
          <cell r="I177">
            <v>1989365</v>
          </cell>
          <cell r="J177">
            <v>0</v>
          </cell>
          <cell r="K177">
            <v>1989365</v>
          </cell>
        </row>
        <row r="178">
          <cell r="E178">
            <v>30000</v>
          </cell>
          <cell r="F178">
            <v>30000</v>
          </cell>
          <cell r="G178">
            <v>19855</v>
          </cell>
          <cell r="H178">
            <v>19855</v>
          </cell>
          <cell r="I178">
            <v>19855</v>
          </cell>
          <cell r="J178">
            <v>0</v>
          </cell>
          <cell r="K178">
            <v>19855</v>
          </cell>
        </row>
        <row r="287">
          <cell r="E287">
            <v>3964400</v>
          </cell>
          <cell r="F287">
            <v>4972793</v>
          </cell>
          <cell r="G287">
            <v>2911908</v>
          </cell>
          <cell r="H287">
            <v>2911908</v>
          </cell>
          <cell r="I287">
            <v>2911908</v>
          </cell>
          <cell r="J287">
            <v>0</v>
          </cell>
          <cell r="K287">
            <v>3510984</v>
          </cell>
        </row>
        <row r="288">
          <cell r="K288">
            <v>1049</v>
          </cell>
        </row>
        <row r="290">
          <cell r="E290">
            <v>4744000</v>
          </cell>
          <cell r="F290">
            <v>5705649</v>
          </cell>
          <cell r="G290">
            <v>3798534</v>
          </cell>
          <cell r="H290">
            <v>3798534</v>
          </cell>
          <cell r="I290">
            <v>3798534</v>
          </cell>
          <cell r="J290">
            <v>0</v>
          </cell>
          <cell r="K290">
            <v>3463990</v>
          </cell>
        </row>
        <row r="291">
          <cell r="E291">
            <v>4419105</v>
          </cell>
          <cell r="F291">
            <v>5081150</v>
          </cell>
          <cell r="G291">
            <v>3268795</v>
          </cell>
          <cell r="H291">
            <v>3268795</v>
          </cell>
          <cell r="I291">
            <v>3268795</v>
          </cell>
          <cell r="J291">
            <v>0</v>
          </cell>
          <cell r="K291">
            <v>649124</v>
          </cell>
        </row>
        <row r="299">
          <cell r="E299">
            <v>81800</v>
          </cell>
          <cell r="F299">
            <v>56800</v>
          </cell>
          <cell r="G299">
            <v>55870</v>
          </cell>
          <cell r="H299">
            <v>55870</v>
          </cell>
          <cell r="I299">
            <v>55870</v>
          </cell>
          <cell r="J299">
            <v>0</v>
          </cell>
          <cell r="K299">
            <v>55870</v>
          </cell>
        </row>
        <row r="300">
          <cell r="E300">
            <v>3590000</v>
          </cell>
          <cell r="F300">
            <v>6135805</v>
          </cell>
          <cell r="G300">
            <v>5411566</v>
          </cell>
          <cell r="H300">
            <v>5411566</v>
          </cell>
          <cell r="I300">
            <v>5411566</v>
          </cell>
          <cell r="J300">
            <v>0</v>
          </cell>
          <cell r="K300">
            <v>3179581</v>
          </cell>
        </row>
      </sheetData>
      <sheetData sheetId="5"/>
      <sheetData sheetId="6"/>
      <sheetData sheetId="7">
        <row r="6">
          <cell r="B6" t="str">
            <v>la data de  31.12.2022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89">
          <cell r="D189">
            <v>3108600</v>
          </cell>
          <cell r="E189">
            <v>3107600</v>
          </cell>
          <cell r="F189">
            <v>3108600</v>
          </cell>
          <cell r="G189">
            <v>3107600</v>
          </cell>
          <cell r="H189">
            <v>2893961</v>
          </cell>
          <cell r="I189">
            <v>2893961</v>
          </cell>
          <cell r="J189">
            <v>2893961</v>
          </cell>
          <cell r="K189">
            <v>0</v>
          </cell>
          <cell r="L189">
            <v>6963090</v>
          </cell>
        </row>
      </sheetData>
      <sheetData sheetId="35"/>
      <sheetData sheetId="36">
        <row r="17">
          <cell r="L17">
            <v>14088073</v>
          </cell>
          <cell r="M17">
            <v>14107776</v>
          </cell>
          <cell r="N17">
            <v>8280184</v>
          </cell>
          <cell r="O17">
            <v>8280184</v>
          </cell>
          <cell r="P17">
            <v>8280184</v>
          </cell>
          <cell r="Q17">
            <v>0</v>
          </cell>
          <cell r="R17">
            <v>124051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A71B-AF25-4A05-88E2-75C03025828A}">
  <sheetPr>
    <tabColor rgb="FF7030A0"/>
    <pageSetUpPr fitToPage="1"/>
  </sheetPr>
  <dimension ref="A1:K397"/>
  <sheetViews>
    <sheetView tabSelected="1" topLeftCell="A374" zoomScale="98" zoomScaleNormal="98" workbookViewId="0">
      <selection activeCell="E399" sqref="E399"/>
    </sheetView>
  </sheetViews>
  <sheetFormatPr defaultRowHeight="12.75"/>
  <cols>
    <col min="1" max="1" width="28" style="143" customWidth="1"/>
    <col min="2" max="2" width="9.42578125" customWidth="1"/>
    <col min="3" max="3" width="14.42578125" customWidth="1"/>
    <col min="4" max="4" width="14.140625" customWidth="1"/>
    <col min="5" max="5" width="16" customWidth="1"/>
    <col min="6" max="6" width="15.5703125" customWidth="1"/>
    <col min="7" max="7" width="14.7109375" customWidth="1"/>
    <col min="8" max="8" width="15.140625" customWidth="1"/>
    <col min="9" max="9" width="15" customWidth="1"/>
    <col min="10" max="10" width="13.85546875" customWidth="1"/>
    <col min="11" max="11" width="14.28515625" customWidth="1"/>
    <col min="226" max="226" width="28" customWidth="1"/>
    <col min="227" max="227" width="12.85546875" customWidth="1"/>
    <col min="228" max="228" width="13.140625" customWidth="1"/>
    <col min="229" max="229" width="13.28515625" customWidth="1"/>
    <col min="230" max="230" width="16" customWidth="1"/>
    <col min="231" max="231" width="15.5703125" customWidth="1"/>
    <col min="232" max="234" width="14.28515625" customWidth="1"/>
    <col min="235" max="235" width="13.85546875" customWidth="1"/>
    <col min="236" max="236" width="14.28515625" customWidth="1"/>
    <col min="237" max="237" width="3" customWidth="1"/>
    <col min="238" max="238" width="11.5703125" customWidth="1"/>
    <col min="241" max="241" width="10.42578125" customWidth="1"/>
    <col min="242" max="242" width="10.5703125" customWidth="1"/>
    <col min="243" max="243" width="9.85546875" customWidth="1"/>
    <col min="244" max="244" width="10.28515625" customWidth="1"/>
    <col min="245" max="245" width="11.28515625" customWidth="1"/>
    <col min="246" max="246" width="11.140625" customWidth="1"/>
    <col min="247" max="247" width="11.85546875" customWidth="1"/>
    <col min="249" max="249" width="11.42578125" customWidth="1"/>
    <col min="482" max="482" width="28" customWidth="1"/>
    <col min="483" max="483" width="12.85546875" customWidth="1"/>
    <col min="484" max="484" width="13.140625" customWidth="1"/>
    <col min="485" max="485" width="13.28515625" customWidth="1"/>
    <col min="486" max="486" width="16" customWidth="1"/>
    <col min="487" max="487" width="15.5703125" customWidth="1"/>
    <col min="488" max="490" width="14.28515625" customWidth="1"/>
    <col min="491" max="491" width="13.85546875" customWidth="1"/>
    <col min="492" max="492" width="14.28515625" customWidth="1"/>
    <col min="493" max="493" width="3" customWidth="1"/>
    <col min="494" max="494" width="11.5703125" customWidth="1"/>
    <col min="497" max="497" width="10.42578125" customWidth="1"/>
    <col min="498" max="498" width="10.5703125" customWidth="1"/>
    <col min="499" max="499" width="9.85546875" customWidth="1"/>
    <col min="500" max="500" width="10.28515625" customWidth="1"/>
    <col min="501" max="501" width="11.28515625" customWidth="1"/>
    <col min="502" max="502" width="11.140625" customWidth="1"/>
    <col min="503" max="503" width="11.85546875" customWidth="1"/>
    <col min="505" max="505" width="11.42578125" customWidth="1"/>
    <col min="738" max="738" width="28" customWidth="1"/>
    <col min="739" max="739" width="12.85546875" customWidth="1"/>
    <col min="740" max="740" width="13.140625" customWidth="1"/>
    <col min="741" max="741" width="13.28515625" customWidth="1"/>
    <col min="742" max="742" width="16" customWidth="1"/>
    <col min="743" max="743" width="15.5703125" customWidth="1"/>
    <col min="744" max="746" width="14.28515625" customWidth="1"/>
    <col min="747" max="747" width="13.85546875" customWidth="1"/>
    <col min="748" max="748" width="14.28515625" customWidth="1"/>
    <col min="749" max="749" width="3" customWidth="1"/>
    <col min="750" max="750" width="11.5703125" customWidth="1"/>
    <col min="753" max="753" width="10.42578125" customWidth="1"/>
    <col min="754" max="754" width="10.5703125" customWidth="1"/>
    <col min="755" max="755" width="9.85546875" customWidth="1"/>
    <col min="756" max="756" width="10.28515625" customWidth="1"/>
    <col min="757" max="757" width="11.28515625" customWidth="1"/>
    <col min="758" max="758" width="11.140625" customWidth="1"/>
    <col min="759" max="759" width="11.85546875" customWidth="1"/>
    <col min="761" max="761" width="11.42578125" customWidth="1"/>
    <col min="994" max="994" width="28" customWidth="1"/>
    <col min="995" max="995" width="12.85546875" customWidth="1"/>
    <col min="996" max="996" width="13.140625" customWidth="1"/>
    <col min="997" max="997" width="13.28515625" customWidth="1"/>
    <col min="998" max="998" width="16" customWidth="1"/>
    <col min="999" max="999" width="15.5703125" customWidth="1"/>
    <col min="1000" max="1002" width="14.28515625" customWidth="1"/>
    <col min="1003" max="1003" width="13.85546875" customWidth="1"/>
    <col min="1004" max="1004" width="14.28515625" customWidth="1"/>
    <col min="1005" max="1005" width="3" customWidth="1"/>
    <col min="1006" max="1006" width="11.5703125" customWidth="1"/>
    <col min="1009" max="1009" width="10.42578125" customWidth="1"/>
    <col min="1010" max="1010" width="10.5703125" customWidth="1"/>
    <col min="1011" max="1011" width="9.85546875" customWidth="1"/>
    <col min="1012" max="1012" width="10.28515625" customWidth="1"/>
    <col min="1013" max="1013" width="11.28515625" customWidth="1"/>
    <col min="1014" max="1014" width="11.140625" customWidth="1"/>
    <col min="1015" max="1015" width="11.85546875" customWidth="1"/>
    <col min="1017" max="1017" width="11.42578125" customWidth="1"/>
    <col min="1250" max="1250" width="28" customWidth="1"/>
    <col min="1251" max="1251" width="12.85546875" customWidth="1"/>
    <col min="1252" max="1252" width="13.140625" customWidth="1"/>
    <col min="1253" max="1253" width="13.28515625" customWidth="1"/>
    <col min="1254" max="1254" width="16" customWidth="1"/>
    <col min="1255" max="1255" width="15.5703125" customWidth="1"/>
    <col min="1256" max="1258" width="14.28515625" customWidth="1"/>
    <col min="1259" max="1259" width="13.85546875" customWidth="1"/>
    <col min="1260" max="1260" width="14.28515625" customWidth="1"/>
    <col min="1261" max="1261" width="3" customWidth="1"/>
    <col min="1262" max="1262" width="11.5703125" customWidth="1"/>
    <col min="1265" max="1265" width="10.42578125" customWidth="1"/>
    <col min="1266" max="1266" width="10.5703125" customWidth="1"/>
    <col min="1267" max="1267" width="9.85546875" customWidth="1"/>
    <col min="1268" max="1268" width="10.28515625" customWidth="1"/>
    <col min="1269" max="1269" width="11.28515625" customWidth="1"/>
    <col min="1270" max="1270" width="11.140625" customWidth="1"/>
    <col min="1271" max="1271" width="11.85546875" customWidth="1"/>
    <col min="1273" max="1273" width="11.42578125" customWidth="1"/>
    <col min="1506" max="1506" width="28" customWidth="1"/>
    <col min="1507" max="1507" width="12.85546875" customWidth="1"/>
    <col min="1508" max="1508" width="13.140625" customWidth="1"/>
    <col min="1509" max="1509" width="13.28515625" customWidth="1"/>
    <col min="1510" max="1510" width="16" customWidth="1"/>
    <col min="1511" max="1511" width="15.5703125" customWidth="1"/>
    <col min="1512" max="1514" width="14.28515625" customWidth="1"/>
    <col min="1515" max="1515" width="13.85546875" customWidth="1"/>
    <col min="1516" max="1516" width="14.28515625" customWidth="1"/>
    <col min="1517" max="1517" width="3" customWidth="1"/>
    <col min="1518" max="1518" width="11.5703125" customWidth="1"/>
    <col min="1521" max="1521" width="10.42578125" customWidth="1"/>
    <col min="1522" max="1522" width="10.5703125" customWidth="1"/>
    <col min="1523" max="1523" width="9.85546875" customWidth="1"/>
    <col min="1524" max="1524" width="10.28515625" customWidth="1"/>
    <col min="1525" max="1525" width="11.28515625" customWidth="1"/>
    <col min="1526" max="1526" width="11.140625" customWidth="1"/>
    <col min="1527" max="1527" width="11.85546875" customWidth="1"/>
    <col min="1529" max="1529" width="11.42578125" customWidth="1"/>
    <col min="1762" max="1762" width="28" customWidth="1"/>
    <col min="1763" max="1763" width="12.85546875" customWidth="1"/>
    <col min="1764" max="1764" width="13.140625" customWidth="1"/>
    <col min="1765" max="1765" width="13.28515625" customWidth="1"/>
    <col min="1766" max="1766" width="16" customWidth="1"/>
    <col min="1767" max="1767" width="15.5703125" customWidth="1"/>
    <col min="1768" max="1770" width="14.28515625" customWidth="1"/>
    <col min="1771" max="1771" width="13.85546875" customWidth="1"/>
    <col min="1772" max="1772" width="14.28515625" customWidth="1"/>
    <col min="1773" max="1773" width="3" customWidth="1"/>
    <col min="1774" max="1774" width="11.5703125" customWidth="1"/>
    <col min="1777" max="1777" width="10.42578125" customWidth="1"/>
    <col min="1778" max="1778" width="10.5703125" customWidth="1"/>
    <col min="1779" max="1779" width="9.85546875" customWidth="1"/>
    <col min="1780" max="1780" width="10.28515625" customWidth="1"/>
    <col min="1781" max="1781" width="11.28515625" customWidth="1"/>
    <col min="1782" max="1782" width="11.140625" customWidth="1"/>
    <col min="1783" max="1783" width="11.85546875" customWidth="1"/>
    <col min="1785" max="1785" width="11.42578125" customWidth="1"/>
    <col min="2018" max="2018" width="28" customWidth="1"/>
    <col min="2019" max="2019" width="12.85546875" customWidth="1"/>
    <col min="2020" max="2020" width="13.140625" customWidth="1"/>
    <col min="2021" max="2021" width="13.28515625" customWidth="1"/>
    <col min="2022" max="2022" width="16" customWidth="1"/>
    <col min="2023" max="2023" width="15.5703125" customWidth="1"/>
    <col min="2024" max="2026" width="14.28515625" customWidth="1"/>
    <col min="2027" max="2027" width="13.85546875" customWidth="1"/>
    <col min="2028" max="2028" width="14.28515625" customWidth="1"/>
    <col min="2029" max="2029" width="3" customWidth="1"/>
    <col min="2030" max="2030" width="11.5703125" customWidth="1"/>
    <col min="2033" max="2033" width="10.42578125" customWidth="1"/>
    <col min="2034" max="2034" width="10.5703125" customWidth="1"/>
    <col min="2035" max="2035" width="9.85546875" customWidth="1"/>
    <col min="2036" max="2036" width="10.28515625" customWidth="1"/>
    <col min="2037" max="2037" width="11.28515625" customWidth="1"/>
    <col min="2038" max="2038" width="11.140625" customWidth="1"/>
    <col min="2039" max="2039" width="11.85546875" customWidth="1"/>
    <col min="2041" max="2041" width="11.42578125" customWidth="1"/>
    <col min="2274" max="2274" width="28" customWidth="1"/>
    <col min="2275" max="2275" width="12.85546875" customWidth="1"/>
    <col min="2276" max="2276" width="13.140625" customWidth="1"/>
    <col min="2277" max="2277" width="13.28515625" customWidth="1"/>
    <col min="2278" max="2278" width="16" customWidth="1"/>
    <col min="2279" max="2279" width="15.5703125" customWidth="1"/>
    <col min="2280" max="2282" width="14.28515625" customWidth="1"/>
    <col min="2283" max="2283" width="13.85546875" customWidth="1"/>
    <col min="2284" max="2284" width="14.28515625" customWidth="1"/>
    <col min="2285" max="2285" width="3" customWidth="1"/>
    <col min="2286" max="2286" width="11.5703125" customWidth="1"/>
    <col min="2289" max="2289" width="10.42578125" customWidth="1"/>
    <col min="2290" max="2290" width="10.5703125" customWidth="1"/>
    <col min="2291" max="2291" width="9.85546875" customWidth="1"/>
    <col min="2292" max="2292" width="10.28515625" customWidth="1"/>
    <col min="2293" max="2293" width="11.28515625" customWidth="1"/>
    <col min="2294" max="2294" width="11.140625" customWidth="1"/>
    <col min="2295" max="2295" width="11.85546875" customWidth="1"/>
    <col min="2297" max="2297" width="11.42578125" customWidth="1"/>
    <col min="2530" max="2530" width="28" customWidth="1"/>
    <col min="2531" max="2531" width="12.85546875" customWidth="1"/>
    <col min="2532" max="2532" width="13.140625" customWidth="1"/>
    <col min="2533" max="2533" width="13.28515625" customWidth="1"/>
    <col min="2534" max="2534" width="16" customWidth="1"/>
    <col min="2535" max="2535" width="15.5703125" customWidth="1"/>
    <col min="2536" max="2538" width="14.28515625" customWidth="1"/>
    <col min="2539" max="2539" width="13.85546875" customWidth="1"/>
    <col min="2540" max="2540" width="14.28515625" customWidth="1"/>
    <col min="2541" max="2541" width="3" customWidth="1"/>
    <col min="2542" max="2542" width="11.5703125" customWidth="1"/>
    <col min="2545" max="2545" width="10.42578125" customWidth="1"/>
    <col min="2546" max="2546" width="10.5703125" customWidth="1"/>
    <col min="2547" max="2547" width="9.85546875" customWidth="1"/>
    <col min="2548" max="2548" width="10.28515625" customWidth="1"/>
    <col min="2549" max="2549" width="11.28515625" customWidth="1"/>
    <col min="2550" max="2550" width="11.140625" customWidth="1"/>
    <col min="2551" max="2551" width="11.85546875" customWidth="1"/>
    <col min="2553" max="2553" width="11.42578125" customWidth="1"/>
    <col min="2786" max="2786" width="28" customWidth="1"/>
    <col min="2787" max="2787" width="12.85546875" customWidth="1"/>
    <col min="2788" max="2788" width="13.140625" customWidth="1"/>
    <col min="2789" max="2789" width="13.28515625" customWidth="1"/>
    <col min="2790" max="2790" width="16" customWidth="1"/>
    <col min="2791" max="2791" width="15.5703125" customWidth="1"/>
    <col min="2792" max="2794" width="14.28515625" customWidth="1"/>
    <col min="2795" max="2795" width="13.85546875" customWidth="1"/>
    <col min="2796" max="2796" width="14.28515625" customWidth="1"/>
    <col min="2797" max="2797" width="3" customWidth="1"/>
    <col min="2798" max="2798" width="11.5703125" customWidth="1"/>
    <col min="2801" max="2801" width="10.42578125" customWidth="1"/>
    <col min="2802" max="2802" width="10.5703125" customWidth="1"/>
    <col min="2803" max="2803" width="9.85546875" customWidth="1"/>
    <col min="2804" max="2804" width="10.28515625" customWidth="1"/>
    <col min="2805" max="2805" width="11.28515625" customWidth="1"/>
    <col min="2806" max="2806" width="11.140625" customWidth="1"/>
    <col min="2807" max="2807" width="11.85546875" customWidth="1"/>
    <col min="2809" max="2809" width="11.42578125" customWidth="1"/>
    <col min="3042" max="3042" width="28" customWidth="1"/>
    <col min="3043" max="3043" width="12.85546875" customWidth="1"/>
    <col min="3044" max="3044" width="13.140625" customWidth="1"/>
    <col min="3045" max="3045" width="13.28515625" customWidth="1"/>
    <col min="3046" max="3046" width="16" customWidth="1"/>
    <col min="3047" max="3047" width="15.5703125" customWidth="1"/>
    <col min="3048" max="3050" width="14.28515625" customWidth="1"/>
    <col min="3051" max="3051" width="13.85546875" customWidth="1"/>
    <col min="3052" max="3052" width="14.28515625" customWidth="1"/>
    <col min="3053" max="3053" width="3" customWidth="1"/>
    <col min="3054" max="3054" width="11.5703125" customWidth="1"/>
    <col min="3057" max="3057" width="10.42578125" customWidth="1"/>
    <col min="3058" max="3058" width="10.5703125" customWidth="1"/>
    <col min="3059" max="3059" width="9.85546875" customWidth="1"/>
    <col min="3060" max="3060" width="10.28515625" customWidth="1"/>
    <col min="3061" max="3061" width="11.28515625" customWidth="1"/>
    <col min="3062" max="3062" width="11.140625" customWidth="1"/>
    <col min="3063" max="3063" width="11.85546875" customWidth="1"/>
    <col min="3065" max="3065" width="11.42578125" customWidth="1"/>
    <col min="3298" max="3298" width="28" customWidth="1"/>
    <col min="3299" max="3299" width="12.85546875" customWidth="1"/>
    <col min="3300" max="3300" width="13.140625" customWidth="1"/>
    <col min="3301" max="3301" width="13.28515625" customWidth="1"/>
    <col min="3302" max="3302" width="16" customWidth="1"/>
    <col min="3303" max="3303" width="15.5703125" customWidth="1"/>
    <col min="3304" max="3306" width="14.28515625" customWidth="1"/>
    <col min="3307" max="3307" width="13.85546875" customWidth="1"/>
    <col min="3308" max="3308" width="14.28515625" customWidth="1"/>
    <col min="3309" max="3309" width="3" customWidth="1"/>
    <col min="3310" max="3310" width="11.5703125" customWidth="1"/>
    <col min="3313" max="3313" width="10.42578125" customWidth="1"/>
    <col min="3314" max="3314" width="10.5703125" customWidth="1"/>
    <col min="3315" max="3315" width="9.85546875" customWidth="1"/>
    <col min="3316" max="3316" width="10.28515625" customWidth="1"/>
    <col min="3317" max="3317" width="11.28515625" customWidth="1"/>
    <col min="3318" max="3318" width="11.140625" customWidth="1"/>
    <col min="3319" max="3319" width="11.85546875" customWidth="1"/>
    <col min="3321" max="3321" width="11.42578125" customWidth="1"/>
    <col min="3554" max="3554" width="28" customWidth="1"/>
    <col min="3555" max="3555" width="12.85546875" customWidth="1"/>
    <col min="3556" max="3556" width="13.140625" customWidth="1"/>
    <col min="3557" max="3557" width="13.28515625" customWidth="1"/>
    <col min="3558" max="3558" width="16" customWidth="1"/>
    <col min="3559" max="3559" width="15.5703125" customWidth="1"/>
    <col min="3560" max="3562" width="14.28515625" customWidth="1"/>
    <col min="3563" max="3563" width="13.85546875" customWidth="1"/>
    <col min="3564" max="3564" width="14.28515625" customWidth="1"/>
    <col min="3565" max="3565" width="3" customWidth="1"/>
    <col min="3566" max="3566" width="11.5703125" customWidth="1"/>
    <col min="3569" max="3569" width="10.42578125" customWidth="1"/>
    <col min="3570" max="3570" width="10.5703125" customWidth="1"/>
    <col min="3571" max="3571" width="9.85546875" customWidth="1"/>
    <col min="3572" max="3572" width="10.28515625" customWidth="1"/>
    <col min="3573" max="3573" width="11.28515625" customWidth="1"/>
    <col min="3574" max="3574" width="11.140625" customWidth="1"/>
    <col min="3575" max="3575" width="11.85546875" customWidth="1"/>
    <col min="3577" max="3577" width="11.42578125" customWidth="1"/>
    <col min="3810" max="3810" width="28" customWidth="1"/>
    <col min="3811" max="3811" width="12.85546875" customWidth="1"/>
    <col min="3812" max="3812" width="13.140625" customWidth="1"/>
    <col min="3813" max="3813" width="13.28515625" customWidth="1"/>
    <col min="3814" max="3814" width="16" customWidth="1"/>
    <col min="3815" max="3815" width="15.5703125" customWidth="1"/>
    <col min="3816" max="3818" width="14.28515625" customWidth="1"/>
    <col min="3819" max="3819" width="13.85546875" customWidth="1"/>
    <col min="3820" max="3820" width="14.28515625" customWidth="1"/>
    <col min="3821" max="3821" width="3" customWidth="1"/>
    <col min="3822" max="3822" width="11.5703125" customWidth="1"/>
    <col min="3825" max="3825" width="10.42578125" customWidth="1"/>
    <col min="3826" max="3826" width="10.5703125" customWidth="1"/>
    <col min="3827" max="3827" width="9.85546875" customWidth="1"/>
    <col min="3828" max="3828" width="10.28515625" customWidth="1"/>
    <col min="3829" max="3829" width="11.28515625" customWidth="1"/>
    <col min="3830" max="3830" width="11.140625" customWidth="1"/>
    <col min="3831" max="3831" width="11.85546875" customWidth="1"/>
    <col min="3833" max="3833" width="11.42578125" customWidth="1"/>
    <col min="4066" max="4066" width="28" customWidth="1"/>
    <col min="4067" max="4067" width="12.85546875" customWidth="1"/>
    <col min="4068" max="4068" width="13.140625" customWidth="1"/>
    <col min="4069" max="4069" width="13.28515625" customWidth="1"/>
    <col min="4070" max="4070" width="16" customWidth="1"/>
    <col min="4071" max="4071" width="15.5703125" customWidth="1"/>
    <col min="4072" max="4074" width="14.28515625" customWidth="1"/>
    <col min="4075" max="4075" width="13.85546875" customWidth="1"/>
    <col min="4076" max="4076" width="14.28515625" customWidth="1"/>
    <col min="4077" max="4077" width="3" customWidth="1"/>
    <col min="4078" max="4078" width="11.5703125" customWidth="1"/>
    <col min="4081" max="4081" width="10.42578125" customWidth="1"/>
    <col min="4082" max="4082" width="10.5703125" customWidth="1"/>
    <col min="4083" max="4083" width="9.85546875" customWidth="1"/>
    <col min="4084" max="4084" width="10.28515625" customWidth="1"/>
    <col min="4085" max="4085" width="11.28515625" customWidth="1"/>
    <col min="4086" max="4086" width="11.140625" customWidth="1"/>
    <col min="4087" max="4087" width="11.85546875" customWidth="1"/>
    <col min="4089" max="4089" width="11.42578125" customWidth="1"/>
    <col min="4322" max="4322" width="28" customWidth="1"/>
    <col min="4323" max="4323" width="12.85546875" customWidth="1"/>
    <col min="4324" max="4324" width="13.140625" customWidth="1"/>
    <col min="4325" max="4325" width="13.28515625" customWidth="1"/>
    <col min="4326" max="4326" width="16" customWidth="1"/>
    <col min="4327" max="4327" width="15.5703125" customWidth="1"/>
    <col min="4328" max="4330" width="14.28515625" customWidth="1"/>
    <col min="4331" max="4331" width="13.85546875" customWidth="1"/>
    <col min="4332" max="4332" width="14.28515625" customWidth="1"/>
    <col min="4333" max="4333" width="3" customWidth="1"/>
    <col min="4334" max="4334" width="11.5703125" customWidth="1"/>
    <col min="4337" max="4337" width="10.42578125" customWidth="1"/>
    <col min="4338" max="4338" width="10.5703125" customWidth="1"/>
    <col min="4339" max="4339" width="9.85546875" customWidth="1"/>
    <col min="4340" max="4340" width="10.28515625" customWidth="1"/>
    <col min="4341" max="4341" width="11.28515625" customWidth="1"/>
    <col min="4342" max="4342" width="11.140625" customWidth="1"/>
    <col min="4343" max="4343" width="11.85546875" customWidth="1"/>
    <col min="4345" max="4345" width="11.42578125" customWidth="1"/>
    <col min="4578" max="4578" width="28" customWidth="1"/>
    <col min="4579" max="4579" width="12.85546875" customWidth="1"/>
    <col min="4580" max="4580" width="13.140625" customWidth="1"/>
    <col min="4581" max="4581" width="13.28515625" customWidth="1"/>
    <col min="4582" max="4582" width="16" customWidth="1"/>
    <col min="4583" max="4583" width="15.5703125" customWidth="1"/>
    <col min="4584" max="4586" width="14.28515625" customWidth="1"/>
    <col min="4587" max="4587" width="13.85546875" customWidth="1"/>
    <col min="4588" max="4588" width="14.28515625" customWidth="1"/>
    <col min="4589" max="4589" width="3" customWidth="1"/>
    <col min="4590" max="4590" width="11.5703125" customWidth="1"/>
    <col min="4593" max="4593" width="10.42578125" customWidth="1"/>
    <col min="4594" max="4594" width="10.5703125" customWidth="1"/>
    <col min="4595" max="4595" width="9.85546875" customWidth="1"/>
    <col min="4596" max="4596" width="10.28515625" customWidth="1"/>
    <col min="4597" max="4597" width="11.28515625" customWidth="1"/>
    <col min="4598" max="4598" width="11.140625" customWidth="1"/>
    <col min="4599" max="4599" width="11.85546875" customWidth="1"/>
    <col min="4601" max="4601" width="11.42578125" customWidth="1"/>
    <col min="4834" max="4834" width="28" customWidth="1"/>
    <col min="4835" max="4835" width="12.85546875" customWidth="1"/>
    <col min="4836" max="4836" width="13.140625" customWidth="1"/>
    <col min="4837" max="4837" width="13.28515625" customWidth="1"/>
    <col min="4838" max="4838" width="16" customWidth="1"/>
    <col min="4839" max="4839" width="15.5703125" customWidth="1"/>
    <col min="4840" max="4842" width="14.28515625" customWidth="1"/>
    <col min="4843" max="4843" width="13.85546875" customWidth="1"/>
    <col min="4844" max="4844" width="14.28515625" customWidth="1"/>
    <col min="4845" max="4845" width="3" customWidth="1"/>
    <col min="4846" max="4846" width="11.5703125" customWidth="1"/>
    <col min="4849" max="4849" width="10.42578125" customWidth="1"/>
    <col min="4850" max="4850" width="10.5703125" customWidth="1"/>
    <col min="4851" max="4851" width="9.85546875" customWidth="1"/>
    <col min="4852" max="4852" width="10.28515625" customWidth="1"/>
    <col min="4853" max="4853" width="11.28515625" customWidth="1"/>
    <col min="4854" max="4854" width="11.140625" customWidth="1"/>
    <col min="4855" max="4855" width="11.85546875" customWidth="1"/>
    <col min="4857" max="4857" width="11.42578125" customWidth="1"/>
    <col min="5090" max="5090" width="28" customWidth="1"/>
    <col min="5091" max="5091" width="12.85546875" customWidth="1"/>
    <col min="5092" max="5092" width="13.140625" customWidth="1"/>
    <col min="5093" max="5093" width="13.28515625" customWidth="1"/>
    <col min="5094" max="5094" width="16" customWidth="1"/>
    <col min="5095" max="5095" width="15.5703125" customWidth="1"/>
    <col min="5096" max="5098" width="14.28515625" customWidth="1"/>
    <col min="5099" max="5099" width="13.85546875" customWidth="1"/>
    <col min="5100" max="5100" width="14.28515625" customWidth="1"/>
    <col min="5101" max="5101" width="3" customWidth="1"/>
    <col min="5102" max="5102" width="11.5703125" customWidth="1"/>
    <col min="5105" max="5105" width="10.42578125" customWidth="1"/>
    <col min="5106" max="5106" width="10.5703125" customWidth="1"/>
    <col min="5107" max="5107" width="9.85546875" customWidth="1"/>
    <col min="5108" max="5108" width="10.28515625" customWidth="1"/>
    <col min="5109" max="5109" width="11.28515625" customWidth="1"/>
    <col min="5110" max="5110" width="11.140625" customWidth="1"/>
    <col min="5111" max="5111" width="11.85546875" customWidth="1"/>
    <col min="5113" max="5113" width="11.42578125" customWidth="1"/>
    <col min="5346" max="5346" width="28" customWidth="1"/>
    <col min="5347" max="5347" width="12.85546875" customWidth="1"/>
    <col min="5348" max="5348" width="13.140625" customWidth="1"/>
    <col min="5349" max="5349" width="13.28515625" customWidth="1"/>
    <col min="5350" max="5350" width="16" customWidth="1"/>
    <col min="5351" max="5351" width="15.5703125" customWidth="1"/>
    <col min="5352" max="5354" width="14.28515625" customWidth="1"/>
    <col min="5355" max="5355" width="13.85546875" customWidth="1"/>
    <col min="5356" max="5356" width="14.28515625" customWidth="1"/>
    <col min="5357" max="5357" width="3" customWidth="1"/>
    <col min="5358" max="5358" width="11.5703125" customWidth="1"/>
    <col min="5361" max="5361" width="10.42578125" customWidth="1"/>
    <col min="5362" max="5362" width="10.5703125" customWidth="1"/>
    <col min="5363" max="5363" width="9.85546875" customWidth="1"/>
    <col min="5364" max="5364" width="10.28515625" customWidth="1"/>
    <col min="5365" max="5365" width="11.28515625" customWidth="1"/>
    <col min="5366" max="5366" width="11.140625" customWidth="1"/>
    <col min="5367" max="5367" width="11.85546875" customWidth="1"/>
    <col min="5369" max="5369" width="11.42578125" customWidth="1"/>
    <col min="5602" max="5602" width="28" customWidth="1"/>
    <col min="5603" max="5603" width="12.85546875" customWidth="1"/>
    <col min="5604" max="5604" width="13.140625" customWidth="1"/>
    <col min="5605" max="5605" width="13.28515625" customWidth="1"/>
    <col min="5606" max="5606" width="16" customWidth="1"/>
    <col min="5607" max="5607" width="15.5703125" customWidth="1"/>
    <col min="5608" max="5610" width="14.28515625" customWidth="1"/>
    <col min="5611" max="5611" width="13.85546875" customWidth="1"/>
    <col min="5612" max="5612" width="14.28515625" customWidth="1"/>
    <col min="5613" max="5613" width="3" customWidth="1"/>
    <col min="5614" max="5614" width="11.5703125" customWidth="1"/>
    <col min="5617" max="5617" width="10.42578125" customWidth="1"/>
    <col min="5618" max="5618" width="10.5703125" customWidth="1"/>
    <col min="5619" max="5619" width="9.85546875" customWidth="1"/>
    <col min="5620" max="5620" width="10.28515625" customWidth="1"/>
    <col min="5621" max="5621" width="11.28515625" customWidth="1"/>
    <col min="5622" max="5622" width="11.140625" customWidth="1"/>
    <col min="5623" max="5623" width="11.85546875" customWidth="1"/>
    <col min="5625" max="5625" width="11.42578125" customWidth="1"/>
    <col min="5858" max="5858" width="28" customWidth="1"/>
    <col min="5859" max="5859" width="12.85546875" customWidth="1"/>
    <col min="5860" max="5860" width="13.140625" customWidth="1"/>
    <col min="5861" max="5861" width="13.28515625" customWidth="1"/>
    <col min="5862" max="5862" width="16" customWidth="1"/>
    <col min="5863" max="5863" width="15.5703125" customWidth="1"/>
    <col min="5864" max="5866" width="14.28515625" customWidth="1"/>
    <col min="5867" max="5867" width="13.85546875" customWidth="1"/>
    <col min="5868" max="5868" width="14.28515625" customWidth="1"/>
    <col min="5869" max="5869" width="3" customWidth="1"/>
    <col min="5870" max="5870" width="11.5703125" customWidth="1"/>
    <col min="5873" max="5873" width="10.42578125" customWidth="1"/>
    <col min="5874" max="5874" width="10.5703125" customWidth="1"/>
    <col min="5875" max="5875" width="9.85546875" customWidth="1"/>
    <col min="5876" max="5876" width="10.28515625" customWidth="1"/>
    <col min="5877" max="5877" width="11.28515625" customWidth="1"/>
    <col min="5878" max="5878" width="11.140625" customWidth="1"/>
    <col min="5879" max="5879" width="11.85546875" customWidth="1"/>
    <col min="5881" max="5881" width="11.42578125" customWidth="1"/>
    <col min="6114" max="6114" width="28" customWidth="1"/>
    <col min="6115" max="6115" width="12.85546875" customWidth="1"/>
    <col min="6116" max="6116" width="13.140625" customWidth="1"/>
    <col min="6117" max="6117" width="13.28515625" customWidth="1"/>
    <col min="6118" max="6118" width="16" customWidth="1"/>
    <col min="6119" max="6119" width="15.5703125" customWidth="1"/>
    <col min="6120" max="6122" width="14.28515625" customWidth="1"/>
    <col min="6123" max="6123" width="13.85546875" customWidth="1"/>
    <col min="6124" max="6124" width="14.28515625" customWidth="1"/>
    <col min="6125" max="6125" width="3" customWidth="1"/>
    <col min="6126" max="6126" width="11.5703125" customWidth="1"/>
    <col min="6129" max="6129" width="10.42578125" customWidth="1"/>
    <col min="6130" max="6130" width="10.5703125" customWidth="1"/>
    <col min="6131" max="6131" width="9.85546875" customWidth="1"/>
    <col min="6132" max="6132" width="10.28515625" customWidth="1"/>
    <col min="6133" max="6133" width="11.28515625" customWidth="1"/>
    <col min="6134" max="6134" width="11.140625" customWidth="1"/>
    <col min="6135" max="6135" width="11.85546875" customWidth="1"/>
    <col min="6137" max="6137" width="11.42578125" customWidth="1"/>
    <col min="6370" max="6370" width="28" customWidth="1"/>
    <col min="6371" max="6371" width="12.85546875" customWidth="1"/>
    <col min="6372" max="6372" width="13.140625" customWidth="1"/>
    <col min="6373" max="6373" width="13.28515625" customWidth="1"/>
    <col min="6374" max="6374" width="16" customWidth="1"/>
    <col min="6375" max="6375" width="15.5703125" customWidth="1"/>
    <col min="6376" max="6378" width="14.28515625" customWidth="1"/>
    <col min="6379" max="6379" width="13.85546875" customWidth="1"/>
    <col min="6380" max="6380" width="14.28515625" customWidth="1"/>
    <col min="6381" max="6381" width="3" customWidth="1"/>
    <col min="6382" max="6382" width="11.5703125" customWidth="1"/>
    <col min="6385" max="6385" width="10.42578125" customWidth="1"/>
    <col min="6386" max="6386" width="10.5703125" customWidth="1"/>
    <col min="6387" max="6387" width="9.85546875" customWidth="1"/>
    <col min="6388" max="6388" width="10.28515625" customWidth="1"/>
    <col min="6389" max="6389" width="11.28515625" customWidth="1"/>
    <col min="6390" max="6390" width="11.140625" customWidth="1"/>
    <col min="6391" max="6391" width="11.85546875" customWidth="1"/>
    <col min="6393" max="6393" width="11.42578125" customWidth="1"/>
    <col min="6626" max="6626" width="28" customWidth="1"/>
    <col min="6627" max="6627" width="12.85546875" customWidth="1"/>
    <col min="6628" max="6628" width="13.140625" customWidth="1"/>
    <col min="6629" max="6629" width="13.28515625" customWidth="1"/>
    <col min="6630" max="6630" width="16" customWidth="1"/>
    <col min="6631" max="6631" width="15.5703125" customWidth="1"/>
    <col min="6632" max="6634" width="14.28515625" customWidth="1"/>
    <col min="6635" max="6635" width="13.85546875" customWidth="1"/>
    <col min="6636" max="6636" width="14.28515625" customWidth="1"/>
    <col min="6637" max="6637" width="3" customWidth="1"/>
    <col min="6638" max="6638" width="11.5703125" customWidth="1"/>
    <col min="6641" max="6641" width="10.42578125" customWidth="1"/>
    <col min="6642" max="6642" width="10.5703125" customWidth="1"/>
    <col min="6643" max="6643" width="9.85546875" customWidth="1"/>
    <col min="6644" max="6644" width="10.28515625" customWidth="1"/>
    <col min="6645" max="6645" width="11.28515625" customWidth="1"/>
    <col min="6646" max="6646" width="11.140625" customWidth="1"/>
    <col min="6647" max="6647" width="11.85546875" customWidth="1"/>
    <col min="6649" max="6649" width="11.42578125" customWidth="1"/>
    <col min="6882" max="6882" width="28" customWidth="1"/>
    <col min="6883" max="6883" width="12.85546875" customWidth="1"/>
    <col min="6884" max="6884" width="13.140625" customWidth="1"/>
    <col min="6885" max="6885" width="13.28515625" customWidth="1"/>
    <col min="6886" max="6886" width="16" customWidth="1"/>
    <col min="6887" max="6887" width="15.5703125" customWidth="1"/>
    <col min="6888" max="6890" width="14.28515625" customWidth="1"/>
    <col min="6891" max="6891" width="13.85546875" customWidth="1"/>
    <col min="6892" max="6892" width="14.28515625" customWidth="1"/>
    <col min="6893" max="6893" width="3" customWidth="1"/>
    <col min="6894" max="6894" width="11.5703125" customWidth="1"/>
    <col min="6897" max="6897" width="10.42578125" customWidth="1"/>
    <col min="6898" max="6898" width="10.5703125" customWidth="1"/>
    <col min="6899" max="6899" width="9.85546875" customWidth="1"/>
    <col min="6900" max="6900" width="10.28515625" customWidth="1"/>
    <col min="6901" max="6901" width="11.28515625" customWidth="1"/>
    <col min="6902" max="6902" width="11.140625" customWidth="1"/>
    <col min="6903" max="6903" width="11.85546875" customWidth="1"/>
    <col min="6905" max="6905" width="11.42578125" customWidth="1"/>
    <col min="7138" max="7138" width="28" customWidth="1"/>
    <col min="7139" max="7139" width="12.85546875" customWidth="1"/>
    <col min="7140" max="7140" width="13.140625" customWidth="1"/>
    <col min="7141" max="7141" width="13.28515625" customWidth="1"/>
    <col min="7142" max="7142" width="16" customWidth="1"/>
    <col min="7143" max="7143" width="15.5703125" customWidth="1"/>
    <col min="7144" max="7146" width="14.28515625" customWidth="1"/>
    <col min="7147" max="7147" width="13.85546875" customWidth="1"/>
    <col min="7148" max="7148" width="14.28515625" customWidth="1"/>
    <col min="7149" max="7149" width="3" customWidth="1"/>
    <col min="7150" max="7150" width="11.5703125" customWidth="1"/>
    <col min="7153" max="7153" width="10.42578125" customWidth="1"/>
    <col min="7154" max="7154" width="10.5703125" customWidth="1"/>
    <col min="7155" max="7155" width="9.85546875" customWidth="1"/>
    <col min="7156" max="7156" width="10.28515625" customWidth="1"/>
    <col min="7157" max="7157" width="11.28515625" customWidth="1"/>
    <col min="7158" max="7158" width="11.140625" customWidth="1"/>
    <col min="7159" max="7159" width="11.85546875" customWidth="1"/>
    <col min="7161" max="7161" width="11.42578125" customWidth="1"/>
    <col min="7394" max="7394" width="28" customWidth="1"/>
    <col min="7395" max="7395" width="12.85546875" customWidth="1"/>
    <col min="7396" max="7396" width="13.140625" customWidth="1"/>
    <col min="7397" max="7397" width="13.28515625" customWidth="1"/>
    <col min="7398" max="7398" width="16" customWidth="1"/>
    <col min="7399" max="7399" width="15.5703125" customWidth="1"/>
    <col min="7400" max="7402" width="14.28515625" customWidth="1"/>
    <col min="7403" max="7403" width="13.85546875" customWidth="1"/>
    <col min="7404" max="7404" width="14.28515625" customWidth="1"/>
    <col min="7405" max="7405" width="3" customWidth="1"/>
    <col min="7406" max="7406" width="11.5703125" customWidth="1"/>
    <col min="7409" max="7409" width="10.42578125" customWidth="1"/>
    <col min="7410" max="7410" width="10.5703125" customWidth="1"/>
    <col min="7411" max="7411" width="9.85546875" customWidth="1"/>
    <col min="7412" max="7412" width="10.28515625" customWidth="1"/>
    <col min="7413" max="7413" width="11.28515625" customWidth="1"/>
    <col min="7414" max="7414" width="11.140625" customWidth="1"/>
    <col min="7415" max="7415" width="11.85546875" customWidth="1"/>
    <col min="7417" max="7417" width="11.42578125" customWidth="1"/>
    <col min="7650" max="7650" width="28" customWidth="1"/>
    <col min="7651" max="7651" width="12.85546875" customWidth="1"/>
    <col min="7652" max="7652" width="13.140625" customWidth="1"/>
    <col min="7653" max="7653" width="13.28515625" customWidth="1"/>
    <col min="7654" max="7654" width="16" customWidth="1"/>
    <col min="7655" max="7655" width="15.5703125" customWidth="1"/>
    <col min="7656" max="7658" width="14.28515625" customWidth="1"/>
    <col min="7659" max="7659" width="13.85546875" customWidth="1"/>
    <col min="7660" max="7660" width="14.28515625" customWidth="1"/>
    <col min="7661" max="7661" width="3" customWidth="1"/>
    <col min="7662" max="7662" width="11.5703125" customWidth="1"/>
    <col min="7665" max="7665" width="10.42578125" customWidth="1"/>
    <col min="7666" max="7666" width="10.5703125" customWidth="1"/>
    <col min="7667" max="7667" width="9.85546875" customWidth="1"/>
    <col min="7668" max="7668" width="10.28515625" customWidth="1"/>
    <col min="7669" max="7669" width="11.28515625" customWidth="1"/>
    <col min="7670" max="7670" width="11.140625" customWidth="1"/>
    <col min="7671" max="7671" width="11.85546875" customWidth="1"/>
    <col min="7673" max="7673" width="11.42578125" customWidth="1"/>
    <col min="7906" max="7906" width="28" customWidth="1"/>
    <col min="7907" max="7907" width="12.85546875" customWidth="1"/>
    <col min="7908" max="7908" width="13.140625" customWidth="1"/>
    <col min="7909" max="7909" width="13.28515625" customWidth="1"/>
    <col min="7910" max="7910" width="16" customWidth="1"/>
    <col min="7911" max="7911" width="15.5703125" customWidth="1"/>
    <col min="7912" max="7914" width="14.28515625" customWidth="1"/>
    <col min="7915" max="7915" width="13.85546875" customWidth="1"/>
    <col min="7916" max="7916" width="14.28515625" customWidth="1"/>
    <col min="7917" max="7917" width="3" customWidth="1"/>
    <col min="7918" max="7918" width="11.5703125" customWidth="1"/>
    <col min="7921" max="7921" width="10.42578125" customWidth="1"/>
    <col min="7922" max="7922" width="10.5703125" customWidth="1"/>
    <col min="7923" max="7923" width="9.85546875" customWidth="1"/>
    <col min="7924" max="7924" width="10.28515625" customWidth="1"/>
    <col min="7925" max="7925" width="11.28515625" customWidth="1"/>
    <col min="7926" max="7926" width="11.140625" customWidth="1"/>
    <col min="7927" max="7927" width="11.85546875" customWidth="1"/>
    <col min="7929" max="7929" width="11.42578125" customWidth="1"/>
    <col min="8162" max="8162" width="28" customWidth="1"/>
    <col min="8163" max="8163" width="12.85546875" customWidth="1"/>
    <col min="8164" max="8164" width="13.140625" customWidth="1"/>
    <col min="8165" max="8165" width="13.28515625" customWidth="1"/>
    <col min="8166" max="8166" width="16" customWidth="1"/>
    <col min="8167" max="8167" width="15.5703125" customWidth="1"/>
    <col min="8168" max="8170" width="14.28515625" customWidth="1"/>
    <col min="8171" max="8171" width="13.85546875" customWidth="1"/>
    <col min="8172" max="8172" width="14.28515625" customWidth="1"/>
    <col min="8173" max="8173" width="3" customWidth="1"/>
    <col min="8174" max="8174" width="11.5703125" customWidth="1"/>
    <col min="8177" max="8177" width="10.42578125" customWidth="1"/>
    <col min="8178" max="8178" width="10.5703125" customWidth="1"/>
    <col min="8179" max="8179" width="9.85546875" customWidth="1"/>
    <col min="8180" max="8180" width="10.28515625" customWidth="1"/>
    <col min="8181" max="8181" width="11.28515625" customWidth="1"/>
    <col min="8182" max="8182" width="11.140625" customWidth="1"/>
    <col min="8183" max="8183" width="11.85546875" customWidth="1"/>
    <col min="8185" max="8185" width="11.42578125" customWidth="1"/>
    <col min="8418" max="8418" width="28" customWidth="1"/>
    <col min="8419" max="8419" width="12.85546875" customWidth="1"/>
    <col min="8420" max="8420" width="13.140625" customWidth="1"/>
    <col min="8421" max="8421" width="13.28515625" customWidth="1"/>
    <col min="8422" max="8422" width="16" customWidth="1"/>
    <col min="8423" max="8423" width="15.5703125" customWidth="1"/>
    <col min="8424" max="8426" width="14.28515625" customWidth="1"/>
    <col min="8427" max="8427" width="13.85546875" customWidth="1"/>
    <col min="8428" max="8428" width="14.28515625" customWidth="1"/>
    <col min="8429" max="8429" width="3" customWidth="1"/>
    <col min="8430" max="8430" width="11.5703125" customWidth="1"/>
    <col min="8433" max="8433" width="10.42578125" customWidth="1"/>
    <col min="8434" max="8434" width="10.5703125" customWidth="1"/>
    <col min="8435" max="8435" width="9.85546875" customWidth="1"/>
    <col min="8436" max="8436" width="10.28515625" customWidth="1"/>
    <col min="8437" max="8437" width="11.28515625" customWidth="1"/>
    <col min="8438" max="8438" width="11.140625" customWidth="1"/>
    <col min="8439" max="8439" width="11.85546875" customWidth="1"/>
    <col min="8441" max="8441" width="11.42578125" customWidth="1"/>
    <col min="8674" max="8674" width="28" customWidth="1"/>
    <col min="8675" max="8675" width="12.85546875" customWidth="1"/>
    <col min="8676" max="8676" width="13.140625" customWidth="1"/>
    <col min="8677" max="8677" width="13.28515625" customWidth="1"/>
    <col min="8678" max="8678" width="16" customWidth="1"/>
    <col min="8679" max="8679" width="15.5703125" customWidth="1"/>
    <col min="8680" max="8682" width="14.28515625" customWidth="1"/>
    <col min="8683" max="8683" width="13.85546875" customWidth="1"/>
    <col min="8684" max="8684" width="14.28515625" customWidth="1"/>
    <col min="8685" max="8685" width="3" customWidth="1"/>
    <col min="8686" max="8686" width="11.5703125" customWidth="1"/>
    <col min="8689" max="8689" width="10.42578125" customWidth="1"/>
    <col min="8690" max="8690" width="10.5703125" customWidth="1"/>
    <col min="8691" max="8691" width="9.85546875" customWidth="1"/>
    <col min="8692" max="8692" width="10.28515625" customWidth="1"/>
    <col min="8693" max="8693" width="11.28515625" customWidth="1"/>
    <col min="8694" max="8694" width="11.140625" customWidth="1"/>
    <col min="8695" max="8695" width="11.85546875" customWidth="1"/>
    <col min="8697" max="8697" width="11.42578125" customWidth="1"/>
    <col min="8930" max="8930" width="28" customWidth="1"/>
    <col min="8931" max="8931" width="12.85546875" customWidth="1"/>
    <col min="8932" max="8932" width="13.140625" customWidth="1"/>
    <col min="8933" max="8933" width="13.28515625" customWidth="1"/>
    <col min="8934" max="8934" width="16" customWidth="1"/>
    <col min="8935" max="8935" width="15.5703125" customWidth="1"/>
    <col min="8936" max="8938" width="14.28515625" customWidth="1"/>
    <col min="8939" max="8939" width="13.85546875" customWidth="1"/>
    <col min="8940" max="8940" width="14.28515625" customWidth="1"/>
    <col min="8941" max="8941" width="3" customWidth="1"/>
    <col min="8942" max="8942" width="11.5703125" customWidth="1"/>
    <col min="8945" max="8945" width="10.42578125" customWidth="1"/>
    <col min="8946" max="8946" width="10.5703125" customWidth="1"/>
    <col min="8947" max="8947" width="9.85546875" customWidth="1"/>
    <col min="8948" max="8948" width="10.28515625" customWidth="1"/>
    <col min="8949" max="8949" width="11.28515625" customWidth="1"/>
    <col min="8950" max="8950" width="11.140625" customWidth="1"/>
    <col min="8951" max="8951" width="11.85546875" customWidth="1"/>
    <col min="8953" max="8953" width="11.42578125" customWidth="1"/>
    <col min="9186" max="9186" width="28" customWidth="1"/>
    <col min="9187" max="9187" width="12.85546875" customWidth="1"/>
    <col min="9188" max="9188" width="13.140625" customWidth="1"/>
    <col min="9189" max="9189" width="13.28515625" customWidth="1"/>
    <col min="9190" max="9190" width="16" customWidth="1"/>
    <col min="9191" max="9191" width="15.5703125" customWidth="1"/>
    <col min="9192" max="9194" width="14.28515625" customWidth="1"/>
    <col min="9195" max="9195" width="13.85546875" customWidth="1"/>
    <col min="9196" max="9196" width="14.28515625" customWidth="1"/>
    <col min="9197" max="9197" width="3" customWidth="1"/>
    <col min="9198" max="9198" width="11.5703125" customWidth="1"/>
    <col min="9201" max="9201" width="10.42578125" customWidth="1"/>
    <col min="9202" max="9202" width="10.5703125" customWidth="1"/>
    <col min="9203" max="9203" width="9.85546875" customWidth="1"/>
    <col min="9204" max="9204" width="10.28515625" customWidth="1"/>
    <col min="9205" max="9205" width="11.28515625" customWidth="1"/>
    <col min="9206" max="9206" width="11.140625" customWidth="1"/>
    <col min="9207" max="9207" width="11.85546875" customWidth="1"/>
    <col min="9209" max="9209" width="11.42578125" customWidth="1"/>
    <col min="9442" max="9442" width="28" customWidth="1"/>
    <col min="9443" max="9443" width="12.85546875" customWidth="1"/>
    <col min="9444" max="9444" width="13.140625" customWidth="1"/>
    <col min="9445" max="9445" width="13.28515625" customWidth="1"/>
    <col min="9446" max="9446" width="16" customWidth="1"/>
    <col min="9447" max="9447" width="15.5703125" customWidth="1"/>
    <col min="9448" max="9450" width="14.28515625" customWidth="1"/>
    <col min="9451" max="9451" width="13.85546875" customWidth="1"/>
    <col min="9452" max="9452" width="14.28515625" customWidth="1"/>
    <col min="9453" max="9453" width="3" customWidth="1"/>
    <col min="9454" max="9454" width="11.5703125" customWidth="1"/>
    <col min="9457" max="9457" width="10.42578125" customWidth="1"/>
    <col min="9458" max="9458" width="10.5703125" customWidth="1"/>
    <col min="9459" max="9459" width="9.85546875" customWidth="1"/>
    <col min="9460" max="9460" width="10.28515625" customWidth="1"/>
    <col min="9461" max="9461" width="11.28515625" customWidth="1"/>
    <col min="9462" max="9462" width="11.140625" customWidth="1"/>
    <col min="9463" max="9463" width="11.85546875" customWidth="1"/>
    <col min="9465" max="9465" width="11.42578125" customWidth="1"/>
    <col min="9698" max="9698" width="28" customWidth="1"/>
    <col min="9699" max="9699" width="12.85546875" customWidth="1"/>
    <col min="9700" max="9700" width="13.140625" customWidth="1"/>
    <col min="9701" max="9701" width="13.28515625" customWidth="1"/>
    <col min="9702" max="9702" width="16" customWidth="1"/>
    <col min="9703" max="9703" width="15.5703125" customWidth="1"/>
    <col min="9704" max="9706" width="14.28515625" customWidth="1"/>
    <col min="9707" max="9707" width="13.85546875" customWidth="1"/>
    <col min="9708" max="9708" width="14.28515625" customWidth="1"/>
    <col min="9709" max="9709" width="3" customWidth="1"/>
    <col min="9710" max="9710" width="11.5703125" customWidth="1"/>
    <col min="9713" max="9713" width="10.42578125" customWidth="1"/>
    <col min="9714" max="9714" width="10.5703125" customWidth="1"/>
    <col min="9715" max="9715" width="9.85546875" customWidth="1"/>
    <col min="9716" max="9716" width="10.28515625" customWidth="1"/>
    <col min="9717" max="9717" width="11.28515625" customWidth="1"/>
    <col min="9718" max="9718" width="11.140625" customWidth="1"/>
    <col min="9719" max="9719" width="11.85546875" customWidth="1"/>
    <col min="9721" max="9721" width="11.42578125" customWidth="1"/>
    <col min="9954" max="9954" width="28" customWidth="1"/>
    <col min="9955" max="9955" width="12.85546875" customWidth="1"/>
    <col min="9956" max="9956" width="13.140625" customWidth="1"/>
    <col min="9957" max="9957" width="13.28515625" customWidth="1"/>
    <col min="9958" max="9958" width="16" customWidth="1"/>
    <col min="9959" max="9959" width="15.5703125" customWidth="1"/>
    <col min="9960" max="9962" width="14.28515625" customWidth="1"/>
    <col min="9963" max="9963" width="13.85546875" customWidth="1"/>
    <col min="9964" max="9964" width="14.28515625" customWidth="1"/>
    <col min="9965" max="9965" width="3" customWidth="1"/>
    <col min="9966" max="9966" width="11.5703125" customWidth="1"/>
    <col min="9969" max="9969" width="10.42578125" customWidth="1"/>
    <col min="9970" max="9970" width="10.5703125" customWidth="1"/>
    <col min="9971" max="9971" width="9.85546875" customWidth="1"/>
    <col min="9972" max="9972" width="10.28515625" customWidth="1"/>
    <col min="9973" max="9973" width="11.28515625" customWidth="1"/>
    <col min="9974" max="9974" width="11.140625" customWidth="1"/>
    <col min="9975" max="9975" width="11.85546875" customWidth="1"/>
    <col min="9977" max="9977" width="11.42578125" customWidth="1"/>
    <col min="10210" max="10210" width="28" customWidth="1"/>
    <col min="10211" max="10211" width="12.85546875" customWidth="1"/>
    <col min="10212" max="10212" width="13.140625" customWidth="1"/>
    <col min="10213" max="10213" width="13.28515625" customWidth="1"/>
    <col min="10214" max="10214" width="16" customWidth="1"/>
    <col min="10215" max="10215" width="15.5703125" customWidth="1"/>
    <col min="10216" max="10218" width="14.28515625" customWidth="1"/>
    <col min="10219" max="10219" width="13.85546875" customWidth="1"/>
    <col min="10220" max="10220" width="14.28515625" customWidth="1"/>
    <col min="10221" max="10221" width="3" customWidth="1"/>
    <col min="10222" max="10222" width="11.5703125" customWidth="1"/>
    <col min="10225" max="10225" width="10.42578125" customWidth="1"/>
    <col min="10226" max="10226" width="10.5703125" customWidth="1"/>
    <col min="10227" max="10227" width="9.85546875" customWidth="1"/>
    <col min="10228" max="10228" width="10.28515625" customWidth="1"/>
    <col min="10229" max="10229" width="11.28515625" customWidth="1"/>
    <col min="10230" max="10230" width="11.140625" customWidth="1"/>
    <col min="10231" max="10231" width="11.85546875" customWidth="1"/>
    <col min="10233" max="10233" width="11.42578125" customWidth="1"/>
    <col min="10466" max="10466" width="28" customWidth="1"/>
    <col min="10467" max="10467" width="12.85546875" customWidth="1"/>
    <col min="10468" max="10468" width="13.140625" customWidth="1"/>
    <col min="10469" max="10469" width="13.28515625" customWidth="1"/>
    <col min="10470" max="10470" width="16" customWidth="1"/>
    <col min="10471" max="10471" width="15.5703125" customWidth="1"/>
    <col min="10472" max="10474" width="14.28515625" customWidth="1"/>
    <col min="10475" max="10475" width="13.85546875" customWidth="1"/>
    <col min="10476" max="10476" width="14.28515625" customWidth="1"/>
    <col min="10477" max="10477" width="3" customWidth="1"/>
    <col min="10478" max="10478" width="11.5703125" customWidth="1"/>
    <col min="10481" max="10481" width="10.42578125" customWidth="1"/>
    <col min="10482" max="10482" width="10.5703125" customWidth="1"/>
    <col min="10483" max="10483" width="9.85546875" customWidth="1"/>
    <col min="10484" max="10484" width="10.28515625" customWidth="1"/>
    <col min="10485" max="10485" width="11.28515625" customWidth="1"/>
    <col min="10486" max="10486" width="11.140625" customWidth="1"/>
    <col min="10487" max="10487" width="11.85546875" customWidth="1"/>
    <col min="10489" max="10489" width="11.42578125" customWidth="1"/>
    <col min="10722" max="10722" width="28" customWidth="1"/>
    <col min="10723" max="10723" width="12.85546875" customWidth="1"/>
    <col min="10724" max="10724" width="13.140625" customWidth="1"/>
    <col min="10725" max="10725" width="13.28515625" customWidth="1"/>
    <col min="10726" max="10726" width="16" customWidth="1"/>
    <col min="10727" max="10727" width="15.5703125" customWidth="1"/>
    <col min="10728" max="10730" width="14.28515625" customWidth="1"/>
    <col min="10731" max="10731" width="13.85546875" customWidth="1"/>
    <col min="10732" max="10732" width="14.28515625" customWidth="1"/>
    <col min="10733" max="10733" width="3" customWidth="1"/>
    <col min="10734" max="10734" width="11.5703125" customWidth="1"/>
    <col min="10737" max="10737" width="10.42578125" customWidth="1"/>
    <col min="10738" max="10738" width="10.5703125" customWidth="1"/>
    <col min="10739" max="10739" width="9.85546875" customWidth="1"/>
    <col min="10740" max="10740" width="10.28515625" customWidth="1"/>
    <col min="10741" max="10741" width="11.28515625" customWidth="1"/>
    <col min="10742" max="10742" width="11.140625" customWidth="1"/>
    <col min="10743" max="10743" width="11.85546875" customWidth="1"/>
    <col min="10745" max="10745" width="11.42578125" customWidth="1"/>
    <col min="10978" max="10978" width="28" customWidth="1"/>
    <col min="10979" max="10979" width="12.85546875" customWidth="1"/>
    <col min="10980" max="10980" width="13.140625" customWidth="1"/>
    <col min="10981" max="10981" width="13.28515625" customWidth="1"/>
    <col min="10982" max="10982" width="16" customWidth="1"/>
    <col min="10983" max="10983" width="15.5703125" customWidth="1"/>
    <col min="10984" max="10986" width="14.28515625" customWidth="1"/>
    <col min="10987" max="10987" width="13.85546875" customWidth="1"/>
    <col min="10988" max="10988" width="14.28515625" customWidth="1"/>
    <col min="10989" max="10989" width="3" customWidth="1"/>
    <col min="10990" max="10990" width="11.5703125" customWidth="1"/>
    <col min="10993" max="10993" width="10.42578125" customWidth="1"/>
    <col min="10994" max="10994" width="10.5703125" customWidth="1"/>
    <col min="10995" max="10995" width="9.85546875" customWidth="1"/>
    <col min="10996" max="10996" width="10.28515625" customWidth="1"/>
    <col min="10997" max="10997" width="11.28515625" customWidth="1"/>
    <col min="10998" max="10998" width="11.140625" customWidth="1"/>
    <col min="10999" max="10999" width="11.85546875" customWidth="1"/>
    <col min="11001" max="11001" width="11.42578125" customWidth="1"/>
    <col min="11234" max="11234" width="28" customWidth="1"/>
    <col min="11235" max="11235" width="12.85546875" customWidth="1"/>
    <col min="11236" max="11236" width="13.140625" customWidth="1"/>
    <col min="11237" max="11237" width="13.28515625" customWidth="1"/>
    <col min="11238" max="11238" width="16" customWidth="1"/>
    <col min="11239" max="11239" width="15.5703125" customWidth="1"/>
    <col min="11240" max="11242" width="14.28515625" customWidth="1"/>
    <col min="11243" max="11243" width="13.85546875" customWidth="1"/>
    <col min="11244" max="11244" width="14.28515625" customWidth="1"/>
    <col min="11245" max="11245" width="3" customWidth="1"/>
    <col min="11246" max="11246" width="11.5703125" customWidth="1"/>
    <col min="11249" max="11249" width="10.42578125" customWidth="1"/>
    <col min="11250" max="11250" width="10.5703125" customWidth="1"/>
    <col min="11251" max="11251" width="9.85546875" customWidth="1"/>
    <col min="11252" max="11252" width="10.28515625" customWidth="1"/>
    <col min="11253" max="11253" width="11.28515625" customWidth="1"/>
    <col min="11254" max="11254" width="11.140625" customWidth="1"/>
    <col min="11255" max="11255" width="11.85546875" customWidth="1"/>
    <col min="11257" max="11257" width="11.42578125" customWidth="1"/>
    <col min="11490" max="11490" width="28" customWidth="1"/>
    <col min="11491" max="11491" width="12.85546875" customWidth="1"/>
    <col min="11492" max="11492" width="13.140625" customWidth="1"/>
    <col min="11493" max="11493" width="13.28515625" customWidth="1"/>
    <col min="11494" max="11494" width="16" customWidth="1"/>
    <col min="11495" max="11495" width="15.5703125" customWidth="1"/>
    <col min="11496" max="11498" width="14.28515625" customWidth="1"/>
    <col min="11499" max="11499" width="13.85546875" customWidth="1"/>
    <col min="11500" max="11500" width="14.28515625" customWidth="1"/>
    <col min="11501" max="11501" width="3" customWidth="1"/>
    <col min="11502" max="11502" width="11.5703125" customWidth="1"/>
    <col min="11505" max="11505" width="10.42578125" customWidth="1"/>
    <col min="11506" max="11506" width="10.5703125" customWidth="1"/>
    <col min="11507" max="11507" width="9.85546875" customWidth="1"/>
    <col min="11508" max="11508" width="10.28515625" customWidth="1"/>
    <col min="11509" max="11509" width="11.28515625" customWidth="1"/>
    <col min="11510" max="11510" width="11.140625" customWidth="1"/>
    <col min="11511" max="11511" width="11.85546875" customWidth="1"/>
    <col min="11513" max="11513" width="11.42578125" customWidth="1"/>
    <col min="11746" max="11746" width="28" customWidth="1"/>
    <col min="11747" max="11747" width="12.85546875" customWidth="1"/>
    <col min="11748" max="11748" width="13.140625" customWidth="1"/>
    <col min="11749" max="11749" width="13.28515625" customWidth="1"/>
    <col min="11750" max="11750" width="16" customWidth="1"/>
    <col min="11751" max="11751" width="15.5703125" customWidth="1"/>
    <col min="11752" max="11754" width="14.28515625" customWidth="1"/>
    <col min="11755" max="11755" width="13.85546875" customWidth="1"/>
    <col min="11756" max="11756" width="14.28515625" customWidth="1"/>
    <col min="11757" max="11757" width="3" customWidth="1"/>
    <col min="11758" max="11758" width="11.5703125" customWidth="1"/>
    <col min="11761" max="11761" width="10.42578125" customWidth="1"/>
    <col min="11762" max="11762" width="10.5703125" customWidth="1"/>
    <col min="11763" max="11763" width="9.85546875" customWidth="1"/>
    <col min="11764" max="11764" width="10.28515625" customWidth="1"/>
    <col min="11765" max="11765" width="11.28515625" customWidth="1"/>
    <col min="11766" max="11766" width="11.140625" customWidth="1"/>
    <col min="11767" max="11767" width="11.85546875" customWidth="1"/>
    <col min="11769" max="11769" width="11.42578125" customWidth="1"/>
    <col min="12002" max="12002" width="28" customWidth="1"/>
    <col min="12003" max="12003" width="12.85546875" customWidth="1"/>
    <col min="12004" max="12004" width="13.140625" customWidth="1"/>
    <col min="12005" max="12005" width="13.28515625" customWidth="1"/>
    <col min="12006" max="12006" width="16" customWidth="1"/>
    <col min="12007" max="12007" width="15.5703125" customWidth="1"/>
    <col min="12008" max="12010" width="14.28515625" customWidth="1"/>
    <col min="12011" max="12011" width="13.85546875" customWidth="1"/>
    <col min="12012" max="12012" width="14.28515625" customWidth="1"/>
    <col min="12013" max="12013" width="3" customWidth="1"/>
    <col min="12014" max="12014" width="11.5703125" customWidth="1"/>
    <col min="12017" max="12017" width="10.42578125" customWidth="1"/>
    <col min="12018" max="12018" width="10.5703125" customWidth="1"/>
    <col min="12019" max="12019" width="9.85546875" customWidth="1"/>
    <col min="12020" max="12020" width="10.28515625" customWidth="1"/>
    <col min="12021" max="12021" width="11.28515625" customWidth="1"/>
    <col min="12022" max="12022" width="11.140625" customWidth="1"/>
    <col min="12023" max="12023" width="11.85546875" customWidth="1"/>
    <col min="12025" max="12025" width="11.42578125" customWidth="1"/>
    <col min="12258" max="12258" width="28" customWidth="1"/>
    <col min="12259" max="12259" width="12.85546875" customWidth="1"/>
    <col min="12260" max="12260" width="13.140625" customWidth="1"/>
    <col min="12261" max="12261" width="13.28515625" customWidth="1"/>
    <col min="12262" max="12262" width="16" customWidth="1"/>
    <col min="12263" max="12263" width="15.5703125" customWidth="1"/>
    <col min="12264" max="12266" width="14.28515625" customWidth="1"/>
    <col min="12267" max="12267" width="13.85546875" customWidth="1"/>
    <col min="12268" max="12268" width="14.28515625" customWidth="1"/>
    <col min="12269" max="12269" width="3" customWidth="1"/>
    <col min="12270" max="12270" width="11.5703125" customWidth="1"/>
    <col min="12273" max="12273" width="10.42578125" customWidth="1"/>
    <col min="12274" max="12274" width="10.5703125" customWidth="1"/>
    <col min="12275" max="12275" width="9.85546875" customWidth="1"/>
    <col min="12276" max="12276" width="10.28515625" customWidth="1"/>
    <col min="12277" max="12277" width="11.28515625" customWidth="1"/>
    <col min="12278" max="12278" width="11.140625" customWidth="1"/>
    <col min="12279" max="12279" width="11.85546875" customWidth="1"/>
    <col min="12281" max="12281" width="11.42578125" customWidth="1"/>
    <col min="12514" max="12514" width="28" customWidth="1"/>
    <col min="12515" max="12515" width="12.85546875" customWidth="1"/>
    <col min="12516" max="12516" width="13.140625" customWidth="1"/>
    <col min="12517" max="12517" width="13.28515625" customWidth="1"/>
    <col min="12518" max="12518" width="16" customWidth="1"/>
    <col min="12519" max="12519" width="15.5703125" customWidth="1"/>
    <col min="12520" max="12522" width="14.28515625" customWidth="1"/>
    <col min="12523" max="12523" width="13.85546875" customWidth="1"/>
    <col min="12524" max="12524" width="14.28515625" customWidth="1"/>
    <col min="12525" max="12525" width="3" customWidth="1"/>
    <col min="12526" max="12526" width="11.5703125" customWidth="1"/>
    <col min="12529" max="12529" width="10.42578125" customWidth="1"/>
    <col min="12530" max="12530" width="10.5703125" customWidth="1"/>
    <col min="12531" max="12531" width="9.85546875" customWidth="1"/>
    <col min="12532" max="12532" width="10.28515625" customWidth="1"/>
    <col min="12533" max="12533" width="11.28515625" customWidth="1"/>
    <col min="12534" max="12534" width="11.140625" customWidth="1"/>
    <col min="12535" max="12535" width="11.85546875" customWidth="1"/>
    <col min="12537" max="12537" width="11.42578125" customWidth="1"/>
    <col min="12770" max="12770" width="28" customWidth="1"/>
    <col min="12771" max="12771" width="12.85546875" customWidth="1"/>
    <col min="12772" max="12772" width="13.140625" customWidth="1"/>
    <col min="12773" max="12773" width="13.28515625" customWidth="1"/>
    <col min="12774" max="12774" width="16" customWidth="1"/>
    <col min="12775" max="12775" width="15.5703125" customWidth="1"/>
    <col min="12776" max="12778" width="14.28515625" customWidth="1"/>
    <col min="12779" max="12779" width="13.85546875" customWidth="1"/>
    <col min="12780" max="12780" width="14.28515625" customWidth="1"/>
    <col min="12781" max="12781" width="3" customWidth="1"/>
    <col min="12782" max="12782" width="11.5703125" customWidth="1"/>
    <col min="12785" max="12785" width="10.42578125" customWidth="1"/>
    <col min="12786" max="12786" width="10.5703125" customWidth="1"/>
    <col min="12787" max="12787" width="9.85546875" customWidth="1"/>
    <col min="12788" max="12788" width="10.28515625" customWidth="1"/>
    <col min="12789" max="12789" width="11.28515625" customWidth="1"/>
    <col min="12790" max="12790" width="11.140625" customWidth="1"/>
    <col min="12791" max="12791" width="11.85546875" customWidth="1"/>
    <col min="12793" max="12793" width="11.42578125" customWidth="1"/>
    <col min="13026" max="13026" width="28" customWidth="1"/>
    <col min="13027" max="13027" width="12.85546875" customWidth="1"/>
    <col min="13028" max="13028" width="13.140625" customWidth="1"/>
    <col min="13029" max="13029" width="13.28515625" customWidth="1"/>
    <col min="13030" max="13030" width="16" customWidth="1"/>
    <col min="13031" max="13031" width="15.5703125" customWidth="1"/>
    <col min="13032" max="13034" width="14.28515625" customWidth="1"/>
    <col min="13035" max="13035" width="13.85546875" customWidth="1"/>
    <col min="13036" max="13036" width="14.28515625" customWidth="1"/>
    <col min="13037" max="13037" width="3" customWidth="1"/>
    <col min="13038" max="13038" width="11.5703125" customWidth="1"/>
    <col min="13041" max="13041" width="10.42578125" customWidth="1"/>
    <col min="13042" max="13042" width="10.5703125" customWidth="1"/>
    <col min="13043" max="13043" width="9.85546875" customWidth="1"/>
    <col min="13044" max="13044" width="10.28515625" customWidth="1"/>
    <col min="13045" max="13045" width="11.28515625" customWidth="1"/>
    <col min="13046" max="13046" width="11.140625" customWidth="1"/>
    <col min="13047" max="13047" width="11.85546875" customWidth="1"/>
    <col min="13049" max="13049" width="11.42578125" customWidth="1"/>
    <col min="13282" max="13282" width="28" customWidth="1"/>
    <col min="13283" max="13283" width="12.85546875" customWidth="1"/>
    <col min="13284" max="13284" width="13.140625" customWidth="1"/>
    <col min="13285" max="13285" width="13.28515625" customWidth="1"/>
    <col min="13286" max="13286" width="16" customWidth="1"/>
    <col min="13287" max="13287" width="15.5703125" customWidth="1"/>
    <col min="13288" max="13290" width="14.28515625" customWidth="1"/>
    <col min="13291" max="13291" width="13.85546875" customWidth="1"/>
    <col min="13292" max="13292" width="14.28515625" customWidth="1"/>
    <col min="13293" max="13293" width="3" customWidth="1"/>
    <col min="13294" max="13294" width="11.5703125" customWidth="1"/>
    <col min="13297" max="13297" width="10.42578125" customWidth="1"/>
    <col min="13298" max="13298" width="10.5703125" customWidth="1"/>
    <col min="13299" max="13299" width="9.85546875" customWidth="1"/>
    <col min="13300" max="13300" width="10.28515625" customWidth="1"/>
    <col min="13301" max="13301" width="11.28515625" customWidth="1"/>
    <col min="13302" max="13302" width="11.140625" customWidth="1"/>
    <col min="13303" max="13303" width="11.85546875" customWidth="1"/>
    <col min="13305" max="13305" width="11.42578125" customWidth="1"/>
    <col min="13538" max="13538" width="28" customWidth="1"/>
    <col min="13539" max="13539" width="12.85546875" customWidth="1"/>
    <col min="13540" max="13540" width="13.140625" customWidth="1"/>
    <col min="13541" max="13541" width="13.28515625" customWidth="1"/>
    <col min="13542" max="13542" width="16" customWidth="1"/>
    <col min="13543" max="13543" width="15.5703125" customWidth="1"/>
    <col min="13544" max="13546" width="14.28515625" customWidth="1"/>
    <col min="13547" max="13547" width="13.85546875" customWidth="1"/>
    <col min="13548" max="13548" width="14.28515625" customWidth="1"/>
    <col min="13549" max="13549" width="3" customWidth="1"/>
    <col min="13550" max="13550" width="11.5703125" customWidth="1"/>
    <col min="13553" max="13553" width="10.42578125" customWidth="1"/>
    <col min="13554" max="13554" width="10.5703125" customWidth="1"/>
    <col min="13555" max="13555" width="9.85546875" customWidth="1"/>
    <col min="13556" max="13556" width="10.28515625" customWidth="1"/>
    <col min="13557" max="13557" width="11.28515625" customWidth="1"/>
    <col min="13558" max="13558" width="11.140625" customWidth="1"/>
    <col min="13559" max="13559" width="11.85546875" customWidth="1"/>
    <col min="13561" max="13561" width="11.42578125" customWidth="1"/>
    <col min="13794" max="13794" width="28" customWidth="1"/>
    <col min="13795" max="13795" width="12.85546875" customWidth="1"/>
    <col min="13796" max="13796" width="13.140625" customWidth="1"/>
    <col min="13797" max="13797" width="13.28515625" customWidth="1"/>
    <col min="13798" max="13798" width="16" customWidth="1"/>
    <col min="13799" max="13799" width="15.5703125" customWidth="1"/>
    <col min="13800" max="13802" width="14.28515625" customWidth="1"/>
    <col min="13803" max="13803" width="13.85546875" customWidth="1"/>
    <col min="13804" max="13804" width="14.28515625" customWidth="1"/>
    <col min="13805" max="13805" width="3" customWidth="1"/>
    <col min="13806" max="13806" width="11.5703125" customWidth="1"/>
    <col min="13809" max="13809" width="10.42578125" customWidth="1"/>
    <col min="13810" max="13810" width="10.5703125" customWidth="1"/>
    <col min="13811" max="13811" width="9.85546875" customWidth="1"/>
    <col min="13812" max="13812" width="10.28515625" customWidth="1"/>
    <col min="13813" max="13813" width="11.28515625" customWidth="1"/>
    <col min="13814" max="13814" width="11.140625" customWidth="1"/>
    <col min="13815" max="13815" width="11.85546875" customWidth="1"/>
    <col min="13817" max="13817" width="11.42578125" customWidth="1"/>
    <col min="14050" max="14050" width="28" customWidth="1"/>
    <col min="14051" max="14051" width="12.85546875" customWidth="1"/>
    <col min="14052" max="14052" width="13.140625" customWidth="1"/>
    <col min="14053" max="14053" width="13.28515625" customWidth="1"/>
    <col min="14054" max="14054" width="16" customWidth="1"/>
    <col min="14055" max="14055" width="15.5703125" customWidth="1"/>
    <col min="14056" max="14058" width="14.28515625" customWidth="1"/>
    <col min="14059" max="14059" width="13.85546875" customWidth="1"/>
    <col min="14060" max="14060" width="14.28515625" customWidth="1"/>
    <col min="14061" max="14061" width="3" customWidth="1"/>
    <col min="14062" max="14062" width="11.5703125" customWidth="1"/>
    <col min="14065" max="14065" width="10.42578125" customWidth="1"/>
    <col min="14066" max="14066" width="10.5703125" customWidth="1"/>
    <col min="14067" max="14067" width="9.85546875" customWidth="1"/>
    <col min="14068" max="14068" width="10.28515625" customWidth="1"/>
    <col min="14069" max="14069" width="11.28515625" customWidth="1"/>
    <col min="14070" max="14070" width="11.140625" customWidth="1"/>
    <col min="14071" max="14071" width="11.85546875" customWidth="1"/>
    <col min="14073" max="14073" width="11.42578125" customWidth="1"/>
    <col min="14306" max="14306" width="28" customWidth="1"/>
    <col min="14307" max="14307" width="12.85546875" customWidth="1"/>
    <col min="14308" max="14308" width="13.140625" customWidth="1"/>
    <col min="14309" max="14309" width="13.28515625" customWidth="1"/>
    <col min="14310" max="14310" width="16" customWidth="1"/>
    <col min="14311" max="14311" width="15.5703125" customWidth="1"/>
    <col min="14312" max="14314" width="14.28515625" customWidth="1"/>
    <col min="14315" max="14315" width="13.85546875" customWidth="1"/>
    <col min="14316" max="14316" width="14.28515625" customWidth="1"/>
    <col min="14317" max="14317" width="3" customWidth="1"/>
    <col min="14318" max="14318" width="11.5703125" customWidth="1"/>
    <col min="14321" max="14321" width="10.42578125" customWidth="1"/>
    <col min="14322" max="14322" width="10.5703125" customWidth="1"/>
    <col min="14323" max="14323" width="9.85546875" customWidth="1"/>
    <col min="14324" max="14324" width="10.28515625" customWidth="1"/>
    <col min="14325" max="14325" width="11.28515625" customWidth="1"/>
    <col min="14326" max="14326" width="11.140625" customWidth="1"/>
    <col min="14327" max="14327" width="11.85546875" customWidth="1"/>
    <col min="14329" max="14329" width="11.42578125" customWidth="1"/>
    <col min="14562" max="14562" width="28" customWidth="1"/>
    <col min="14563" max="14563" width="12.85546875" customWidth="1"/>
    <col min="14564" max="14564" width="13.140625" customWidth="1"/>
    <col min="14565" max="14565" width="13.28515625" customWidth="1"/>
    <col min="14566" max="14566" width="16" customWidth="1"/>
    <col min="14567" max="14567" width="15.5703125" customWidth="1"/>
    <col min="14568" max="14570" width="14.28515625" customWidth="1"/>
    <col min="14571" max="14571" width="13.85546875" customWidth="1"/>
    <col min="14572" max="14572" width="14.28515625" customWidth="1"/>
    <col min="14573" max="14573" width="3" customWidth="1"/>
    <col min="14574" max="14574" width="11.5703125" customWidth="1"/>
    <col min="14577" max="14577" width="10.42578125" customWidth="1"/>
    <col min="14578" max="14578" width="10.5703125" customWidth="1"/>
    <col min="14579" max="14579" width="9.85546875" customWidth="1"/>
    <col min="14580" max="14580" width="10.28515625" customWidth="1"/>
    <col min="14581" max="14581" width="11.28515625" customWidth="1"/>
    <col min="14582" max="14582" width="11.140625" customWidth="1"/>
    <col min="14583" max="14583" width="11.85546875" customWidth="1"/>
    <col min="14585" max="14585" width="11.42578125" customWidth="1"/>
    <col min="14818" max="14818" width="28" customWidth="1"/>
    <col min="14819" max="14819" width="12.85546875" customWidth="1"/>
    <col min="14820" max="14820" width="13.140625" customWidth="1"/>
    <col min="14821" max="14821" width="13.28515625" customWidth="1"/>
    <col min="14822" max="14822" width="16" customWidth="1"/>
    <col min="14823" max="14823" width="15.5703125" customWidth="1"/>
    <col min="14824" max="14826" width="14.28515625" customWidth="1"/>
    <col min="14827" max="14827" width="13.85546875" customWidth="1"/>
    <col min="14828" max="14828" width="14.28515625" customWidth="1"/>
    <col min="14829" max="14829" width="3" customWidth="1"/>
    <col min="14830" max="14830" width="11.5703125" customWidth="1"/>
    <col min="14833" max="14833" width="10.42578125" customWidth="1"/>
    <col min="14834" max="14834" width="10.5703125" customWidth="1"/>
    <col min="14835" max="14835" width="9.85546875" customWidth="1"/>
    <col min="14836" max="14836" width="10.28515625" customWidth="1"/>
    <col min="14837" max="14837" width="11.28515625" customWidth="1"/>
    <col min="14838" max="14838" width="11.140625" customWidth="1"/>
    <col min="14839" max="14839" width="11.85546875" customWidth="1"/>
    <col min="14841" max="14841" width="11.42578125" customWidth="1"/>
    <col min="15074" max="15074" width="28" customWidth="1"/>
    <col min="15075" max="15075" width="12.85546875" customWidth="1"/>
    <col min="15076" max="15076" width="13.140625" customWidth="1"/>
    <col min="15077" max="15077" width="13.28515625" customWidth="1"/>
    <col min="15078" max="15078" width="16" customWidth="1"/>
    <col min="15079" max="15079" width="15.5703125" customWidth="1"/>
    <col min="15080" max="15082" width="14.28515625" customWidth="1"/>
    <col min="15083" max="15083" width="13.85546875" customWidth="1"/>
    <col min="15084" max="15084" width="14.28515625" customWidth="1"/>
    <col min="15085" max="15085" width="3" customWidth="1"/>
    <col min="15086" max="15086" width="11.5703125" customWidth="1"/>
    <col min="15089" max="15089" width="10.42578125" customWidth="1"/>
    <col min="15090" max="15090" width="10.5703125" customWidth="1"/>
    <col min="15091" max="15091" width="9.85546875" customWidth="1"/>
    <col min="15092" max="15092" width="10.28515625" customWidth="1"/>
    <col min="15093" max="15093" width="11.28515625" customWidth="1"/>
    <col min="15094" max="15094" width="11.140625" customWidth="1"/>
    <col min="15095" max="15095" width="11.85546875" customWidth="1"/>
    <col min="15097" max="15097" width="11.42578125" customWidth="1"/>
    <col min="15330" max="15330" width="28" customWidth="1"/>
    <col min="15331" max="15331" width="12.85546875" customWidth="1"/>
    <col min="15332" max="15332" width="13.140625" customWidth="1"/>
    <col min="15333" max="15333" width="13.28515625" customWidth="1"/>
    <col min="15334" max="15334" width="16" customWidth="1"/>
    <col min="15335" max="15335" width="15.5703125" customWidth="1"/>
    <col min="15336" max="15338" width="14.28515625" customWidth="1"/>
    <col min="15339" max="15339" width="13.85546875" customWidth="1"/>
    <col min="15340" max="15340" width="14.28515625" customWidth="1"/>
    <col min="15341" max="15341" width="3" customWidth="1"/>
    <col min="15342" max="15342" width="11.5703125" customWidth="1"/>
    <col min="15345" max="15345" width="10.42578125" customWidth="1"/>
    <col min="15346" max="15346" width="10.5703125" customWidth="1"/>
    <col min="15347" max="15347" width="9.85546875" customWidth="1"/>
    <col min="15348" max="15348" width="10.28515625" customWidth="1"/>
    <col min="15349" max="15349" width="11.28515625" customWidth="1"/>
    <col min="15350" max="15350" width="11.140625" customWidth="1"/>
    <col min="15351" max="15351" width="11.85546875" customWidth="1"/>
    <col min="15353" max="15353" width="11.42578125" customWidth="1"/>
    <col min="15586" max="15586" width="28" customWidth="1"/>
    <col min="15587" max="15587" width="12.85546875" customWidth="1"/>
    <col min="15588" max="15588" width="13.140625" customWidth="1"/>
    <col min="15589" max="15589" width="13.28515625" customWidth="1"/>
    <col min="15590" max="15590" width="16" customWidth="1"/>
    <col min="15591" max="15591" width="15.5703125" customWidth="1"/>
    <col min="15592" max="15594" width="14.28515625" customWidth="1"/>
    <col min="15595" max="15595" width="13.85546875" customWidth="1"/>
    <col min="15596" max="15596" width="14.28515625" customWidth="1"/>
    <col min="15597" max="15597" width="3" customWidth="1"/>
    <col min="15598" max="15598" width="11.5703125" customWidth="1"/>
    <col min="15601" max="15601" width="10.42578125" customWidth="1"/>
    <col min="15602" max="15602" width="10.5703125" customWidth="1"/>
    <col min="15603" max="15603" width="9.85546875" customWidth="1"/>
    <col min="15604" max="15604" width="10.28515625" customWidth="1"/>
    <col min="15605" max="15605" width="11.28515625" customWidth="1"/>
    <col min="15606" max="15606" width="11.140625" customWidth="1"/>
    <col min="15607" max="15607" width="11.85546875" customWidth="1"/>
    <col min="15609" max="15609" width="11.42578125" customWidth="1"/>
    <col min="15842" max="15842" width="28" customWidth="1"/>
    <col min="15843" max="15843" width="12.85546875" customWidth="1"/>
    <col min="15844" max="15844" width="13.140625" customWidth="1"/>
    <col min="15845" max="15845" width="13.28515625" customWidth="1"/>
    <col min="15846" max="15846" width="16" customWidth="1"/>
    <col min="15847" max="15847" width="15.5703125" customWidth="1"/>
    <col min="15848" max="15850" width="14.28515625" customWidth="1"/>
    <col min="15851" max="15851" width="13.85546875" customWidth="1"/>
    <col min="15852" max="15852" width="14.28515625" customWidth="1"/>
    <col min="15853" max="15853" width="3" customWidth="1"/>
    <col min="15854" max="15854" width="11.5703125" customWidth="1"/>
    <col min="15857" max="15857" width="10.42578125" customWidth="1"/>
    <col min="15858" max="15858" width="10.5703125" customWidth="1"/>
    <col min="15859" max="15859" width="9.85546875" customWidth="1"/>
    <col min="15860" max="15860" width="10.28515625" customWidth="1"/>
    <col min="15861" max="15861" width="11.28515625" customWidth="1"/>
    <col min="15862" max="15862" width="11.140625" customWidth="1"/>
    <col min="15863" max="15863" width="11.85546875" customWidth="1"/>
    <col min="15865" max="15865" width="11.42578125" customWidth="1"/>
    <col min="16098" max="16098" width="28" customWidth="1"/>
    <col min="16099" max="16099" width="12.85546875" customWidth="1"/>
    <col min="16100" max="16100" width="13.140625" customWidth="1"/>
    <col min="16101" max="16101" width="13.28515625" customWidth="1"/>
    <col min="16102" max="16102" width="16" customWidth="1"/>
    <col min="16103" max="16103" width="15.5703125" customWidth="1"/>
    <col min="16104" max="16106" width="14.28515625" customWidth="1"/>
    <col min="16107" max="16107" width="13.85546875" customWidth="1"/>
    <col min="16108" max="16108" width="14.28515625" customWidth="1"/>
    <col min="16109" max="16109" width="3" customWidth="1"/>
    <col min="16110" max="16110" width="11.5703125" customWidth="1"/>
    <col min="16113" max="16113" width="10.42578125" customWidth="1"/>
    <col min="16114" max="16114" width="10.5703125" customWidth="1"/>
    <col min="16115" max="16115" width="9.85546875" customWidth="1"/>
    <col min="16116" max="16116" width="10.28515625" customWidth="1"/>
    <col min="16117" max="16117" width="11.28515625" customWidth="1"/>
    <col min="16118" max="16118" width="11.140625" customWidth="1"/>
    <col min="16119" max="16119" width="11.85546875" customWidth="1"/>
    <col min="16121" max="16121" width="11.42578125" customWidth="1"/>
  </cols>
  <sheetData>
    <row r="1" spans="1:11" ht="15" customHeight="1">
      <c r="A1" s="150" t="s">
        <v>324</v>
      </c>
      <c r="I1" s="193" t="s">
        <v>333</v>
      </c>
      <c r="J1" s="193"/>
      <c r="K1" s="193"/>
    </row>
    <row r="2" spans="1:11" ht="15" customHeight="1">
      <c r="A2" s="196" t="s">
        <v>325</v>
      </c>
      <c r="B2" s="196"/>
    </row>
    <row r="3" spans="1:11" ht="15" customHeight="1">
      <c r="A3" s="195" t="s">
        <v>326</v>
      </c>
      <c r="B3" s="195"/>
    </row>
    <row r="4" spans="1:11">
      <c r="A4" s="195" t="s">
        <v>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ht="15" customHeight="1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1" ht="13.5" thickBot="1">
      <c r="A6" s="3"/>
      <c r="B6" s="188" t="str">
        <f>'[1]51'!B6:K6</f>
        <v>la data de  31.12.2022</v>
      </c>
      <c r="C6" s="188"/>
      <c r="D6" s="188"/>
      <c r="E6" s="188"/>
      <c r="F6" s="188"/>
      <c r="G6" s="188"/>
      <c r="H6" s="188"/>
      <c r="I6" s="188"/>
      <c r="J6" s="188"/>
      <c r="K6" s="188"/>
    </row>
    <row r="7" spans="1:11" ht="13.5" hidden="1" thickBot="1">
      <c r="A7" s="4"/>
      <c r="B7" s="5" t="s">
        <v>1</v>
      </c>
      <c r="C7" s="6">
        <f>C12-C8</f>
        <v>0</v>
      </c>
      <c r="D7" s="6">
        <f t="shared" ref="D7:K7" si="0">D12-D8</f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</row>
    <row r="8" spans="1:11" ht="13.5" hidden="1" thickBot="1">
      <c r="A8" s="7" t="s">
        <v>2</v>
      </c>
      <c r="B8" s="8"/>
      <c r="C8" s="8">
        <f>'[1]13+verif'!C10</f>
        <v>225394312</v>
      </c>
      <c r="D8" s="8">
        <f>'[1]13+verif'!D10</f>
        <v>169108212</v>
      </c>
      <c r="E8" s="8">
        <f>'[1]13+verif'!E10</f>
        <v>479883312</v>
      </c>
      <c r="F8" s="8">
        <f>'[1]13+verif'!F10</f>
        <v>436776483</v>
      </c>
      <c r="G8" s="8">
        <f>'[1]13+verif'!G10</f>
        <v>393682773</v>
      </c>
      <c r="H8" s="8">
        <f>'[1]13+verif'!H10</f>
        <v>393682773</v>
      </c>
      <c r="I8" s="8">
        <f>'[1]13+verif'!I10</f>
        <v>393682773</v>
      </c>
      <c r="J8" s="8">
        <f>'[1]13+verif'!J10</f>
        <v>0</v>
      </c>
      <c r="K8" s="8">
        <f>'[1]13+verif'!K10</f>
        <v>323685537</v>
      </c>
    </row>
    <row r="9" spans="1:11" ht="30.75" customHeight="1">
      <c r="A9" s="201" t="s">
        <v>3</v>
      </c>
      <c r="B9" s="203" t="s">
        <v>4</v>
      </c>
      <c r="C9" s="189" t="s">
        <v>5</v>
      </c>
      <c r="D9" s="189" t="s">
        <v>332</v>
      </c>
      <c r="E9" s="189" t="s">
        <v>6</v>
      </c>
      <c r="F9" s="189" t="s">
        <v>331</v>
      </c>
      <c r="G9" s="191" t="s">
        <v>7</v>
      </c>
      <c r="H9" s="191" t="s">
        <v>8</v>
      </c>
      <c r="I9" s="197" t="s">
        <v>9</v>
      </c>
      <c r="J9" s="197" t="s">
        <v>10</v>
      </c>
      <c r="K9" s="199" t="s">
        <v>11</v>
      </c>
    </row>
    <row r="10" spans="1:11" ht="17.25" customHeight="1" thickBot="1">
      <c r="A10" s="202"/>
      <c r="B10" s="204"/>
      <c r="C10" s="190"/>
      <c r="D10" s="190"/>
      <c r="E10" s="190"/>
      <c r="F10" s="190"/>
      <c r="G10" s="192"/>
      <c r="H10" s="192"/>
      <c r="I10" s="198"/>
      <c r="J10" s="198"/>
      <c r="K10" s="200"/>
    </row>
    <row r="11" spans="1:11">
      <c r="A11" s="9" t="s">
        <v>12</v>
      </c>
      <c r="B11" s="10" t="s">
        <v>13</v>
      </c>
      <c r="C11" s="10">
        <v>1</v>
      </c>
      <c r="D11" s="10">
        <v>2</v>
      </c>
      <c r="E11" s="11">
        <v>3</v>
      </c>
      <c r="F11" s="11">
        <v>4</v>
      </c>
      <c r="G11" s="10">
        <v>5</v>
      </c>
      <c r="H11" s="10">
        <v>6</v>
      </c>
      <c r="I11" s="10">
        <v>7</v>
      </c>
      <c r="J11" s="12">
        <v>8</v>
      </c>
      <c r="K11" s="13">
        <v>10</v>
      </c>
    </row>
    <row r="12" spans="1:11" ht="48">
      <c r="A12" s="151" t="s">
        <v>14</v>
      </c>
      <c r="B12" s="166" t="s">
        <v>15</v>
      </c>
      <c r="C12" s="15">
        <f>C13+C29+C37+C92+C109+C139</f>
        <v>225394312</v>
      </c>
      <c r="D12" s="187">
        <f>D13+D29+D37+D92+D109+D139</f>
        <v>169108212</v>
      </c>
      <c r="E12" s="15">
        <f>E13+E29+E37+E92+E109+E139</f>
        <v>479883312</v>
      </c>
      <c r="F12" s="15">
        <f t="shared" ref="F12:K12" si="1">F13+F29+F37+F92+F109+F139</f>
        <v>436776483</v>
      </c>
      <c r="G12" s="15">
        <f t="shared" si="1"/>
        <v>393682773</v>
      </c>
      <c r="H12" s="15">
        <f t="shared" si="1"/>
        <v>393682773</v>
      </c>
      <c r="I12" s="15">
        <f>I13+I29+I37+I92+I109+I139</f>
        <v>393682773</v>
      </c>
      <c r="J12" s="14">
        <f t="shared" si="1"/>
        <v>0</v>
      </c>
      <c r="K12" s="16">
        <f t="shared" si="1"/>
        <v>323685537</v>
      </c>
    </row>
    <row r="13" spans="1:11" ht="36">
      <c r="A13" s="152" t="s">
        <v>16</v>
      </c>
      <c r="B13" s="167" t="s">
        <v>17</v>
      </c>
      <c r="C13" s="18">
        <f>C14+C17+C23+C24</f>
        <v>2450000</v>
      </c>
      <c r="D13" s="18">
        <f>D14+D17+D23+D24</f>
        <v>1865000</v>
      </c>
      <c r="E13" s="18">
        <f t="shared" ref="E13:K13" si="2">E14+E17+E23+E24</f>
        <v>40512000</v>
      </c>
      <c r="F13" s="18">
        <f t="shared" si="2"/>
        <v>40682780</v>
      </c>
      <c r="G13" s="18">
        <f t="shared" si="2"/>
        <v>38854437</v>
      </c>
      <c r="H13" s="18">
        <f t="shared" si="2"/>
        <v>38854437</v>
      </c>
      <c r="I13" s="18">
        <f t="shared" si="2"/>
        <v>38854437</v>
      </c>
      <c r="J13" s="18">
        <f t="shared" si="2"/>
        <v>0</v>
      </c>
      <c r="K13" s="19">
        <f t="shared" si="2"/>
        <v>39237846</v>
      </c>
    </row>
    <row r="14" spans="1:11" ht="36">
      <c r="A14" s="153" t="s">
        <v>18</v>
      </c>
      <c r="B14" s="126" t="s">
        <v>19</v>
      </c>
      <c r="C14" s="21">
        <f>C15</f>
        <v>2450000</v>
      </c>
      <c r="D14" s="21">
        <f>D15</f>
        <v>1865000</v>
      </c>
      <c r="E14" s="21">
        <f t="shared" ref="E14:K15" si="3">E15</f>
        <v>36237000</v>
      </c>
      <c r="F14" s="21">
        <f t="shared" si="3"/>
        <v>35682780</v>
      </c>
      <c r="G14" s="21">
        <f t="shared" si="3"/>
        <v>33893542</v>
      </c>
      <c r="H14" s="21">
        <f t="shared" si="3"/>
        <v>33893542</v>
      </c>
      <c r="I14" s="21">
        <f t="shared" si="3"/>
        <v>33893542</v>
      </c>
      <c r="J14" s="21">
        <f t="shared" si="3"/>
        <v>0</v>
      </c>
      <c r="K14" s="22">
        <f t="shared" si="3"/>
        <v>34198815</v>
      </c>
    </row>
    <row r="15" spans="1:11" ht="36">
      <c r="A15" s="154" t="s">
        <v>20</v>
      </c>
      <c r="B15" s="127" t="s">
        <v>21</v>
      </c>
      <c r="C15" s="24">
        <f>C16</f>
        <v>2450000</v>
      </c>
      <c r="D15" s="24">
        <f>D16</f>
        <v>1865000</v>
      </c>
      <c r="E15" s="24">
        <f t="shared" si="3"/>
        <v>36237000</v>
      </c>
      <c r="F15" s="24">
        <f t="shared" si="3"/>
        <v>35682780</v>
      </c>
      <c r="G15" s="24">
        <f t="shared" si="3"/>
        <v>33893542</v>
      </c>
      <c r="H15" s="24">
        <f t="shared" si="3"/>
        <v>33893542</v>
      </c>
      <c r="I15" s="24">
        <f t="shared" si="3"/>
        <v>33893542</v>
      </c>
      <c r="J15" s="24">
        <f t="shared" si="3"/>
        <v>0</v>
      </c>
      <c r="K15" s="25">
        <f t="shared" si="3"/>
        <v>34198815</v>
      </c>
    </row>
    <row r="16" spans="1:11" ht="20.100000000000001" customHeight="1">
      <c r="A16" s="155" t="s">
        <v>22</v>
      </c>
      <c r="B16" s="128" t="s">
        <v>23</v>
      </c>
      <c r="C16" s="27">
        <f>C146+C273</f>
        <v>2450000</v>
      </c>
      <c r="D16" s="27">
        <f>D146+D273</f>
        <v>1865000</v>
      </c>
      <c r="E16" s="27">
        <f t="shared" ref="E16:K16" si="4">E146+E273</f>
        <v>36237000</v>
      </c>
      <c r="F16" s="27">
        <f t="shared" si="4"/>
        <v>35682780</v>
      </c>
      <c r="G16" s="27">
        <f t="shared" si="4"/>
        <v>33893542</v>
      </c>
      <c r="H16" s="27">
        <f>G16</f>
        <v>33893542</v>
      </c>
      <c r="I16" s="27">
        <f>I146+I273</f>
        <v>33893542</v>
      </c>
      <c r="J16" s="28">
        <f t="shared" si="4"/>
        <v>0</v>
      </c>
      <c r="K16" s="29">
        <f t="shared" si="4"/>
        <v>34198815</v>
      </c>
    </row>
    <row r="17" spans="1:11" ht="27.75" customHeight="1">
      <c r="A17" s="153" t="s">
        <v>24</v>
      </c>
      <c r="B17" s="126" t="s">
        <v>25</v>
      </c>
      <c r="C17" s="21">
        <f>C18+C19+C20+C21+C22</f>
        <v>0</v>
      </c>
      <c r="D17" s="21">
        <f>D18+D19+D20+D21+D22</f>
        <v>0</v>
      </c>
      <c r="E17" s="21">
        <f t="shared" ref="E17:K17" si="5">E18+E19+E20+E21+E22</f>
        <v>2403000</v>
      </c>
      <c r="F17" s="21">
        <f t="shared" si="5"/>
        <v>2392000</v>
      </c>
      <c r="G17" s="21">
        <f t="shared" si="5"/>
        <v>2353452</v>
      </c>
      <c r="H17" s="21">
        <f t="shared" si="5"/>
        <v>2353452</v>
      </c>
      <c r="I17" s="21">
        <f t="shared" si="5"/>
        <v>2353452</v>
      </c>
      <c r="J17" s="21">
        <f t="shared" si="5"/>
        <v>0</v>
      </c>
      <c r="K17" s="22">
        <f t="shared" si="5"/>
        <v>2394545</v>
      </c>
    </row>
    <row r="18" spans="1:11" ht="24">
      <c r="A18" s="155" t="s">
        <v>26</v>
      </c>
      <c r="B18" s="128" t="s">
        <v>27</v>
      </c>
      <c r="C18" s="27"/>
      <c r="D18" s="27"/>
      <c r="E18" s="30">
        <f t="shared" ref="E18:K21" si="6">E148+E275</f>
        <v>10000</v>
      </c>
      <c r="F18" s="27">
        <f t="shared" si="6"/>
        <v>0</v>
      </c>
      <c r="G18" s="27">
        <f t="shared" si="6"/>
        <v>0</v>
      </c>
      <c r="H18" s="27">
        <f t="shared" si="6"/>
        <v>0</v>
      </c>
      <c r="I18" s="27">
        <f t="shared" si="6"/>
        <v>0</v>
      </c>
      <c r="J18" s="27">
        <f t="shared" si="6"/>
        <v>0</v>
      </c>
      <c r="K18" s="29">
        <f t="shared" si="6"/>
        <v>0</v>
      </c>
    </row>
    <row r="19" spans="1:11" ht="22.5" hidden="1" customHeight="1">
      <c r="A19" s="155" t="s">
        <v>28</v>
      </c>
      <c r="B19" s="128" t="s">
        <v>29</v>
      </c>
      <c r="C19" s="27"/>
      <c r="D19" s="27"/>
      <c r="E19" s="27">
        <f t="shared" si="6"/>
        <v>0</v>
      </c>
      <c r="F19" s="27">
        <f t="shared" si="6"/>
        <v>0</v>
      </c>
      <c r="G19" s="27">
        <f t="shared" si="6"/>
        <v>0</v>
      </c>
      <c r="H19" s="27">
        <f t="shared" si="6"/>
        <v>0</v>
      </c>
      <c r="I19" s="27">
        <f t="shared" si="6"/>
        <v>0</v>
      </c>
      <c r="J19" s="27">
        <f t="shared" si="6"/>
        <v>0</v>
      </c>
      <c r="K19" s="29">
        <f t="shared" si="6"/>
        <v>0</v>
      </c>
    </row>
    <row r="20" spans="1:11" ht="27.75" hidden="1" customHeight="1">
      <c r="A20" s="155" t="s">
        <v>30</v>
      </c>
      <c r="B20" s="128" t="s">
        <v>31</v>
      </c>
      <c r="C20" s="27"/>
      <c r="D20" s="27"/>
      <c r="E20" s="27">
        <f t="shared" si="6"/>
        <v>0</v>
      </c>
      <c r="F20" s="27">
        <f t="shared" si="6"/>
        <v>0</v>
      </c>
      <c r="G20" s="27">
        <f t="shared" si="6"/>
        <v>0</v>
      </c>
      <c r="H20" s="27">
        <f t="shared" si="6"/>
        <v>0</v>
      </c>
      <c r="I20" s="27">
        <f t="shared" si="6"/>
        <v>0</v>
      </c>
      <c r="J20" s="27">
        <f t="shared" si="6"/>
        <v>0</v>
      </c>
      <c r="K20" s="29">
        <f t="shared" si="6"/>
        <v>0</v>
      </c>
    </row>
    <row r="21" spans="1:11" ht="24">
      <c r="A21" s="155" t="s">
        <v>32</v>
      </c>
      <c r="B21" s="128" t="s">
        <v>33</v>
      </c>
      <c r="C21" s="27"/>
      <c r="D21" s="27"/>
      <c r="E21" s="27">
        <f t="shared" si="6"/>
        <v>2393000</v>
      </c>
      <c r="F21" s="27">
        <f t="shared" si="6"/>
        <v>2392000</v>
      </c>
      <c r="G21" s="27">
        <f t="shared" si="6"/>
        <v>2353452</v>
      </c>
      <c r="H21" s="27">
        <f>G21</f>
        <v>2353452</v>
      </c>
      <c r="I21" s="27">
        <f t="shared" si="6"/>
        <v>2353452</v>
      </c>
      <c r="J21" s="27">
        <f t="shared" si="6"/>
        <v>0</v>
      </c>
      <c r="K21" s="29">
        <f t="shared" si="6"/>
        <v>2394545</v>
      </c>
    </row>
    <row r="22" spans="1:11" ht="15">
      <c r="A22" s="155" t="s">
        <v>34</v>
      </c>
      <c r="B22" s="128" t="s">
        <v>35</v>
      </c>
      <c r="C22" s="27"/>
      <c r="D22" s="27"/>
      <c r="E22" s="27"/>
      <c r="F22" s="27"/>
      <c r="G22" s="27"/>
      <c r="H22" s="27"/>
      <c r="I22" s="27"/>
      <c r="J22" s="27"/>
      <c r="K22" s="29"/>
    </row>
    <row r="23" spans="1:11" ht="24">
      <c r="A23" s="153" t="s">
        <v>36</v>
      </c>
      <c r="B23" s="126" t="s">
        <v>37</v>
      </c>
      <c r="C23" s="21">
        <f>C153</f>
        <v>0</v>
      </c>
      <c r="D23" s="21">
        <f>D153</f>
        <v>0</v>
      </c>
      <c r="E23" s="21">
        <f t="shared" ref="E23:K23" si="7">E153</f>
        <v>1872000</v>
      </c>
      <c r="F23" s="21">
        <f t="shared" si="7"/>
        <v>2608000</v>
      </c>
      <c r="G23" s="21">
        <f t="shared" si="7"/>
        <v>2607443</v>
      </c>
      <c r="H23" s="21">
        <f t="shared" si="7"/>
        <v>2607443</v>
      </c>
      <c r="I23" s="21">
        <f t="shared" si="7"/>
        <v>2607443</v>
      </c>
      <c r="J23" s="21">
        <f t="shared" si="7"/>
        <v>0</v>
      </c>
      <c r="K23" s="31">
        <f t="shared" si="7"/>
        <v>2644486</v>
      </c>
    </row>
    <row r="24" spans="1:11" ht="29.25" hidden="1" customHeight="1">
      <c r="A24" s="153" t="s">
        <v>38</v>
      </c>
      <c r="B24" s="126" t="s">
        <v>39</v>
      </c>
      <c r="C24" s="21">
        <f>C26+C27+C28</f>
        <v>0</v>
      </c>
      <c r="D24" s="21">
        <f>D26+D27+D28</f>
        <v>0</v>
      </c>
      <c r="E24" s="21">
        <f t="shared" ref="E24:K24" si="8">E26+E27+E28</f>
        <v>0</v>
      </c>
      <c r="F24" s="21">
        <f t="shared" si="8"/>
        <v>0</v>
      </c>
      <c r="G24" s="21">
        <f t="shared" si="8"/>
        <v>0</v>
      </c>
      <c r="H24" s="21">
        <f t="shared" si="8"/>
        <v>0</v>
      </c>
      <c r="I24" s="21">
        <f t="shared" si="8"/>
        <v>0</v>
      </c>
      <c r="J24" s="21">
        <f t="shared" si="8"/>
        <v>0</v>
      </c>
      <c r="K24" s="22">
        <f t="shared" si="8"/>
        <v>0</v>
      </c>
    </row>
    <row r="25" spans="1:11" ht="22.5" hidden="1" customHeight="1">
      <c r="A25" s="155" t="s">
        <v>40</v>
      </c>
      <c r="B25" s="128" t="s">
        <v>41</v>
      </c>
      <c r="C25" s="32"/>
      <c r="D25" s="32"/>
      <c r="E25" s="33"/>
      <c r="F25" s="34"/>
      <c r="G25" s="35"/>
      <c r="H25" s="35"/>
      <c r="I25" s="35"/>
      <c r="J25" s="36"/>
      <c r="K25" s="37"/>
    </row>
    <row r="26" spans="1:11" ht="21" hidden="1" customHeight="1">
      <c r="A26" s="155" t="s">
        <v>42</v>
      </c>
      <c r="B26" s="128" t="s">
        <v>41</v>
      </c>
      <c r="C26" s="27">
        <f>C155</f>
        <v>0</v>
      </c>
      <c r="D26" s="27">
        <f>D155</f>
        <v>0</v>
      </c>
      <c r="E26" s="27">
        <f t="shared" ref="E26:K26" si="9">E155</f>
        <v>0</v>
      </c>
      <c r="F26" s="27">
        <f t="shared" si="9"/>
        <v>0</v>
      </c>
      <c r="G26" s="27">
        <f t="shared" si="9"/>
        <v>0</v>
      </c>
      <c r="H26" s="27">
        <f t="shared" si="9"/>
        <v>0</v>
      </c>
      <c r="I26" s="27">
        <f t="shared" si="9"/>
        <v>0</v>
      </c>
      <c r="J26" s="27">
        <f t="shared" si="9"/>
        <v>0</v>
      </c>
      <c r="K26" s="29">
        <f t="shared" si="9"/>
        <v>0</v>
      </c>
    </row>
    <row r="27" spans="1:11" ht="30" hidden="1" customHeight="1">
      <c r="A27" s="155" t="s">
        <v>43</v>
      </c>
      <c r="B27" s="128" t="s">
        <v>44</v>
      </c>
      <c r="C27" s="27">
        <f>C156</f>
        <v>0</v>
      </c>
      <c r="D27" s="27">
        <f t="shared" ref="D27:K28" si="10">D156</f>
        <v>0</v>
      </c>
      <c r="E27" s="27">
        <f t="shared" si="10"/>
        <v>0</v>
      </c>
      <c r="F27" s="27">
        <f t="shared" si="10"/>
        <v>0</v>
      </c>
      <c r="G27" s="27">
        <f t="shared" si="10"/>
        <v>0</v>
      </c>
      <c r="H27" s="27">
        <f t="shared" si="10"/>
        <v>0</v>
      </c>
      <c r="I27" s="27">
        <f t="shared" si="10"/>
        <v>0</v>
      </c>
      <c r="J27" s="27">
        <f t="shared" si="10"/>
        <v>0</v>
      </c>
      <c r="K27" s="29">
        <f t="shared" si="10"/>
        <v>0</v>
      </c>
    </row>
    <row r="28" spans="1:11" ht="18" hidden="1" customHeight="1">
      <c r="A28" s="155" t="s">
        <v>45</v>
      </c>
      <c r="B28" s="129" t="s">
        <v>46</v>
      </c>
      <c r="C28" s="27">
        <f>C157</f>
        <v>0</v>
      </c>
      <c r="D28" s="27">
        <f t="shared" si="10"/>
        <v>0</v>
      </c>
      <c r="E28" s="27">
        <f t="shared" si="10"/>
        <v>0</v>
      </c>
      <c r="F28" s="27">
        <f t="shared" si="10"/>
        <v>0</v>
      </c>
      <c r="G28" s="27">
        <f t="shared" si="10"/>
        <v>0</v>
      </c>
      <c r="H28" s="27">
        <f t="shared" si="10"/>
        <v>0</v>
      </c>
      <c r="I28" s="27">
        <f t="shared" si="10"/>
        <v>0</v>
      </c>
      <c r="J28" s="27">
        <f t="shared" si="10"/>
        <v>0</v>
      </c>
      <c r="K28" s="29">
        <f t="shared" si="10"/>
        <v>0</v>
      </c>
    </row>
    <row r="29" spans="1:11" ht="36">
      <c r="A29" s="152" t="s">
        <v>47</v>
      </c>
      <c r="B29" s="167" t="s">
        <v>48</v>
      </c>
      <c r="C29" s="18">
        <f>C30+C32</f>
        <v>573200</v>
      </c>
      <c r="D29" s="18">
        <f>D30+D32</f>
        <v>853200</v>
      </c>
      <c r="E29" s="18">
        <f t="shared" ref="E29:K29" si="11">E30+E32</f>
        <v>10968200</v>
      </c>
      <c r="F29" s="18">
        <f t="shared" si="11"/>
        <v>11436859</v>
      </c>
      <c r="G29" s="18">
        <f t="shared" si="11"/>
        <v>11057108</v>
      </c>
      <c r="H29" s="18">
        <f t="shared" si="11"/>
        <v>11057108</v>
      </c>
      <c r="I29" s="18">
        <f t="shared" si="11"/>
        <v>11057108</v>
      </c>
      <c r="J29" s="18">
        <f t="shared" si="11"/>
        <v>0</v>
      </c>
      <c r="K29" s="19">
        <f t="shared" si="11"/>
        <v>10882553</v>
      </c>
    </row>
    <row r="30" spans="1:11" ht="15.75" hidden="1">
      <c r="A30" s="153" t="s">
        <v>49</v>
      </c>
      <c r="B30" s="126" t="s">
        <v>50</v>
      </c>
      <c r="C30" s="21">
        <f>C31</f>
        <v>0</v>
      </c>
      <c r="D30" s="21">
        <f>D31</f>
        <v>0</v>
      </c>
      <c r="E30" s="21">
        <f t="shared" ref="E30:K30" si="12">E31</f>
        <v>0</v>
      </c>
      <c r="F30" s="21">
        <f t="shared" si="12"/>
        <v>0</v>
      </c>
      <c r="G30" s="21">
        <f t="shared" si="12"/>
        <v>0</v>
      </c>
      <c r="H30" s="21">
        <f t="shared" si="12"/>
        <v>0</v>
      </c>
      <c r="I30" s="21">
        <f t="shared" si="12"/>
        <v>0</v>
      </c>
      <c r="J30" s="21">
        <f t="shared" si="12"/>
        <v>0</v>
      </c>
      <c r="K30" s="22">
        <f t="shared" si="12"/>
        <v>0</v>
      </c>
    </row>
    <row r="31" spans="1:11" ht="15" hidden="1">
      <c r="A31" s="155" t="s">
        <v>51</v>
      </c>
      <c r="B31" s="128" t="s">
        <v>52</v>
      </c>
      <c r="C31" s="27">
        <f>C160+C282</f>
        <v>0</v>
      </c>
      <c r="D31" s="27">
        <f>D160+D282</f>
        <v>0</v>
      </c>
      <c r="E31" s="27">
        <f t="shared" ref="E31:K31" si="13">E160+E282</f>
        <v>0</v>
      </c>
      <c r="F31" s="27">
        <f t="shared" si="13"/>
        <v>0</v>
      </c>
      <c r="G31" s="27">
        <f t="shared" si="13"/>
        <v>0</v>
      </c>
      <c r="H31" s="27">
        <f t="shared" si="13"/>
        <v>0</v>
      </c>
      <c r="I31" s="27">
        <f t="shared" si="13"/>
        <v>0</v>
      </c>
      <c r="J31" s="27">
        <f t="shared" si="13"/>
        <v>0</v>
      </c>
      <c r="K31" s="29">
        <f t="shared" si="13"/>
        <v>0</v>
      </c>
    </row>
    <row r="32" spans="1:11" ht="48">
      <c r="A32" s="153" t="s">
        <v>53</v>
      </c>
      <c r="B32" s="126" t="s">
        <v>54</v>
      </c>
      <c r="C32" s="21">
        <f>C33+C35+C36</f>
        <v>573200</v>
      </c>
      <c r="D32" s="21">
        <f>D33+D35+D36</f>
        <v>853200</v>
      </c>
      <c r="E32" s="21">
        <f>E33+E35+E36</f>
        <v>10968200</v>
      </c>
      <c r="F32" s="21">
        <f t="shared" ref="F32:K32" si="14">F33+F35+F36</f>
        <v>11436859</v>
      </c>
      <c r="G32" s="21">
        <f t="shared" si="14"/>
        <v>11057108</v>
      </c>
      <c r="H32" s="21">
        <f t="shared" si="14"/>
        <v>11057108</v>
      </c>
      <c r="I32" s="21">
        <f t="shared" si="14"/>
        <v>11057108</v>
      </c>
      <c r="J32" s="21">
        <f t="shared" si="14"/>
        <v>0</v>
      </c>
      <c r="K32" s="22">
        <f t="shared" si="14"/>
        <v>10882553</v>
      </c>
    </row>
    <row r="33" spans="1:11" ht="15">
      <c r="A33" s="156" t="s">
        <v>55</v>
      </c>
      <c r="B33" s="127" t="s">
        <v>56</v>
      </c>
      <c r="C33" s="24">
        <f>C34</f>
        <v>340200</v>
      </c>
      <c r="D33" s="24">
        <f>D34</f>
        <v>442200</v>
      </c>
      <c r="E33" s="24">
        <f>E34</f>
        <v>10685200</v>
      </c>
      <c r="F33" s="24">
        <f t="shared" ref="F33:K33" si="15">F34</f>
        <v>10975859</v>
      </c>
      <c r="G33" s="24">
        <f t="shared" si="15"/>
        <v>10806676</v>
      </c>
      <c r="H33" s="24">
        <f t="shared" si="15"/>
        <v>10806676</v>
      </c>
      <c r="I33" s="24">
        <f t="shared" si="15"/>
        <v>10806676</v>
      </c>
      <c r="J33" s="24">
        <f t="shared" si="15"/>
        <v>0</v>
      </c>
      <c r="K33" s="39">
        <f t="shared" si="15"/>
        <v>10664331</v>
      </c>
    </row>
    <row r="34" spans="1:11" ht="20.100000000000001" customHeight="1">
      <c r="A34" s="155" t="s">
        <v>57</v>
      </c>
      <c r="B34" s="128" t="s">
        <v>58</v>
      </c>
      <c r="C34" s="27">
        <f t="shared" ref="C34:K36" si="16">C163+C285</f>
        <v>340200</v>
      </c>
      <c r="D34" s="27">
        <f t="shared" si="16"/>
        <v>442200</v>
      </c>
      <c r="E34" s="27">
        <f t="shared" si="16"/>
        <v>10685200</v>
      </c>
      <c r="F34" s="27">
        <f t="shared" si="16"/>
        <v>10975859</v>
      </c>
      <c r="G34" s="27">
        <f t="shared" si="16"/>
        <v>10806676</v>
      </c>
      <c r="H34" s="27">
        <f t="shared" si="16"/>
        <v>10806676</v>
      </c>
      <c r="I34" s="27">
        <f t="shared" si="16"/>
        <v>10806676</v>
      </c>
      <c r="J34" s="27">
        <f t="shared" si="16"/>
        <v>0</v>
      </c>
      <c r="K34" s="29">
        <f t="shared" si="16"/>
        <v>10664331</v>
      </c>
    </row>
    <row r="35" spans="1:11" ht="36">
      <c r="A35" s="157" t="s">
        <v>59</v>
      </c>
      <c r="B35" s="128" t="s">
        <v>60</v>
      </c>
      <c r="C35" s="27">
        <f t="shared" si="16"/>
        <v>0</v>
      </c>
      <c r="D35" s="27">
        <f t="shared" si="16"/>
        <v>18000</v>
      </c>
      <c r="E35" s="27">
        <f t="shared" si="16"/>
        <v>50000</v>
      </c>
      <c r="F35" s="27">
        <f t="shared" si="16"/>
        <v>68000</v>
      </c>
      <c r="G35" s="27">
        <f t="shared" si="16"/>
        <v>66902</v>
      </c>
      <c r="H35" s="27">
        <f t="shared" si="16"/>
        <v>66902</v>
      </c>
      <c r="I35" s="27">
        <f t="shared" si="16"/>
        <v>66902</v>
      </c>
      <c r="J35" s="27">
        <f t="shared" si="16"/>
        <v>0</v>
      </c>
      <c r="K35" s="29">
        <f t="shared" si="16"/>
        <v>130557</v>
      </c>
    </row>
    <row r="36" spans="1:11" ht="24">
      <c r="A36" s="157" t="s">
        <v>61</v>
      </c>
      <c r="B36" s="128" t="s">
        <v>62</v>
      </c>
      <c r="C36" s="27">
        <f t="shared" si="16"/>
        <v>233000</v>
      </c>
      <c r="D36" s="27">
        <f t="shared" si="16"/>
        <v>393000</v>
      </c>
      <c r="E36" s="27">
        <f t="shared" si="16"/>
        <v>233000</v>
      </c>
      <c r="F36" s="27">
        <f t="shared" si="16"/>
        <v>393000</v>
      </c>
      <c r="G36" s="27">
        <f t="shared" si="16"/>
        <v>183530</v>
      </c>
      <c r="H36" s="27">
        <f t="shared" si="16"/>
        <v>183530</v>
      </c>
      <c r="I36" s="27">
        <f t="shared" si="16"/>
        <v>183530</v>
      </c>
      <c r="J36" s="27">
        <f t="shared" si="16"/>
        <v>0</v>
      </c>
      <c r="K36" s="29">
        <f t="shared" si="16"/>
        <v>87665</v>
      </c>
    </row>
    <row r="37" spans="1:11" ht="36">
      <c r="A37" s="152" t="s">
        <v>63</v>
      </c>
      <c r="B37" s="167" t="s">
        <v>64</v>
      </c>
      <c r="C37" s="18">
        <f>C38+C54+C61+C79</f>
        <v>35523055</v>
      </c>
      <c r="D37" s="18">
        <f>D38+D54+D61+D79</f>
        <v>46107443</v>
      </c>
      <c r="E37" s="18">
        <f t="shared" ref="E37:K37" si="17">E38+E54+E61+E79</f>
        <v>155670055</v>
      </c>
      <c r="F37" s="18">
        <f t="shared" si="17"/>
        <v>178396331</v>
      </c>
      <c r="G37" s="18">
        <f t="shared" si="17"/>
        <v>160030703</v>
      </c>
      <c r="H37" s="18">
        <f t="shared" si="17"/>
        <v>160030703</v>
      </c>
      <c r="I37" s="18">
        <f t="shared" si="17"/>
        <v>160030703</v>
      </c>
      <c r="J37" s="18">
        <f t="shared" si="17"/>
        <v>0</v>
      </c>
      <c r="K37" s="19">
        <f t="shared" si="17"/>
        <v>147589270</v>
      </c>
    </row>
    <row r="38" spans="1:11" ht="48">
      <c r="A38" s="153" t="s">
        <v>65</v>
      </c>
      <c r="B38" s="126" t="s">
        <v>66</v>
      </c>
      <c r="C38" s="21">
        <f>C39+C42+C46+C47+C49+C53+C52</f>
        <v>16799305</v>
      </c>
      <c r="D38" s="21">
        <f t="shared" ref="D38:K38" si="18">D39+D42+D46+D47+D49+D53+D52</f>
        <v>21990392</v>
      </c>
      <c r="E38" s="21">
        <f t="shared" si="18"/>
        <v>49265305</v>
      </c>
      <c r="F38" s="21">
        <f t="shared" si="18"/>
        <v>63076866</v>
      </c>
      <c r="G38" s="21">
        <f t="shared" si="18"/>
        <v>53958987</v>
      </c>
      <c r="H38" s="21">
        <f t="shared" si="18"/>
        <v>53958987</v>
      </c>
      <c r="I38" s="21">
        <f t="shared" si="18"/>
        <v>53958987</v>
      </c>
      <c r="J38" s="21">
        <f t="shared" si="18"/>
        <v>0</v>
      </c>
      <c r="K38" s="21">
        <f t="shared" si="18"/>
        <v>48691986</v>
      </c>
    </row>
    <row r="39" spans="1:11" ht="24">
      <c r="A39" s="154" t="s">
        <v>67</v>
      </c>
      <c r="B39" s="127" t="s">
        <v>68</v>
      </c>
      <c r="C39" s="24">
        <f>C40+C41</f>
        <v>3964400</v>
      </c>
      <c r="D39" s="24">
        <f>D40+D41</f>
        <v>4972793</v>
      </c>
      <c r="E39" s="24">
        <f t="shared" ref="E39:K39" si="19">E40+E41</f>
        <v>7891400</v>
      </c>
      <c r="F39" s="24">
        <f t="shared" si="19"/>
        <v>11590250</v>
      </c>
      <c r="G39" s="24">
        <f t="shared" si="19"/>
        <v>9153380</v>
      </c>
      <c r="H39" s="24">
        <f t="shared" si="19"/>
        <v>9153380</v>
      </c>
      <c r="I39" s="24">
        <f t="shared" si="19"/>
        <v>9153380</v>
      </c>
      <c r="J39" s="24">
        <f t="shared" si="19"/>
        <v>0</v>
      </c>
      <c r="K39" s="25">
        <f t="shared" si="19"/>
        <v>9844184</v>
      </c>
    </row>
    <row r="40" spans="1:11" ht="20.100000000000001" customHeight="1">
      <c r="A40" s="155" t="s">
        <v>69</v>
      </c>
      <c r="B40" s="128" t="s">
        <v>70</v>
      </c>
      <c r="C40" s="27">
        <f t="shared" ref="C40:K41" si="20">C169+C291</f>
        <v>3964400</v>
      </c>
      <c r="D40" s="27">
        <f t="shared" si="20"/>
        <v>4972793</v>
      </c>
      <c r="E40" s="27">
        <f t="shared" si="20"/>
        <v>7210204</v>
      </c>
      <c r="F40" s="27">
        <f t="shared" si="20"/>
        <v>10496033</v>
      </c>
      <c r="G40" s="27">
        <f t="shared" si="20"/>
        <v>8059183</v>
      </c>
      <c r="H40" s="27">
        <f t="shared" si="20"/>
        <v>8059183</v>
      </c>
      <c r="I40" s="27">
        <f t="shared" si="20"/>
        <v>8059183</v>
      </c>
      <c r="J40" s="27">
        <f t="shared" si="20"/>
        <v>0</v>
      </c>
      <c r="K40" s="29">
        <f t="shared" si="20"/>
        <v>8767528</v>
      </c>
    </row>
    <row r="41" spans="1:11" ht="20.100000000000001" customHeight="1">
      <c r="A41" s="155" t="s">
        <v>71</v>
      </c>
      <c r="B41" s="128" t="s">
        <v>72</v>
      </c>
      <c r="C41" s="27">
        <f t="shared" si="20"/>
        <v>0</v>
      </c>
      <c r="D41" s="27">
        <f t="shared" si="20"/>
        <v>0</v>
      </c>
      <c r="E41" s="27">
        <f t="shared" si="20"/>
        <v>681196</v>
      </c>
      <c r="F41" s="27">
        <f t="shared" si="20"/>
        <v>1094217</v>
      </c>
      <c r="G41" s="27">
        <f t="shared" si="20"/>
        <v>1094197</v>
      </c>
      <c r="H41" s="27">
        <f t="shared" si="20"/>
        <v>1094197</v>
      </c>
      <c r="I41" s="27">
        <f t="shared" si="20"/>
        <v>1094197</v>
      </c>
      <c r="J41" s="27">
        <f t="shared" si="20"/>
        <v>0</v>
      </c>
      <c r="K41" s="29">
        <f t="shared" si="20"/>
        <v>1076656</v>
      </c>
    </row>
    <row r="42" spans="1:11" ht="24">
      <c r="A42" s="154" t="s">
        <v>73</v>
      </c>
      <c r="B42" s="127" t="s">
        <v>74</v>
      </c>
      <c r="C42" s="24">
        <f>C43+C44+C45+C46</f>
        <v>9163105</v>
      </c>
      <c r="D42" s="24">
        <f>D43+D44+D45+D46</f>
        <v>10786799</v>
      </c>
      <c r="E42" s="24">
        <f>E43+E44+E45</f>
        <v>32902105</v>
      </c>
      <c r="F42" s="24">
        <f t="shared" ref="F42:K42" si="21">F43+F44+F45</f>
        <v>43249011</v>
      </c>
      <c r="G42" s="24">
        <f t="shared" si="21"/>
        <v>37328951</v>
      </c>
      <c r="H42" s="24">
        <f t="shared" si="21"/>
        <v>37328951</v>
      </c>
      <c r="I42" s="24">
        <f t="shared" si="21"/>
        <v>37328951</v>
      </c>
      <c r="J42" s="24">
        <f t="shared" si="21"/>
        <v>0</v>
      </c>
      <c r="K42" s="39">
        <f t="shared" si="21"/>
        <v>33603131</v>
      </c>
    </row>
    <row r="43" spans="1:11" ht="15">
      <c r="A43" s="155" t="s">
        <v>75</v>
      </c>
      <c r="B43" s="128" t="s">
        <v>76</v>
      </c>
      <c r="C43" s="27">
        <f t="shared" ref="C43:K44" si="22">C172+C294</f>
        <v>4744000</v>
      </c>
      <c r="D43" s="27">
        <f t="shared" si="22"/>
        <v>5705649</v>
      </c>
      <c r="E43" s="27">
        <f t="shared" si="22"/>
        <v>10507518</v>
      </c>
      <c r="F43" s="27">
        <f t="shared" si="22"/>
        <v>15119420</v>
      </c>
      <c r="G43" s="27">
        <f t="shared" si="22"/>
        <v>12968700</v>
      </c>
      <c r="H43" s="27">
        <f t="shared" si="22"/>
        <v>12968700</v>
      </c>
      <c r="I43" s="27">
        <f t="shared" si="22"/>
        <v>12968700</v>
      </c>
      <c r="J43" s="27">
        <f t="shared" si="22"/>
        <v>0</v>
      </c>
      <c r="K43" s="29">
        <f t="shared" si="22"/>
        <v>12288405</v>
      </c>
    </row>
    <row r="44" spans="1:11" ht="15">
      <c r="A44" s="155" t="s">
        <v>77</v>
      </c>
      <c r="B44" s="128" t="s">
        <v>78</v>
      </c>
      <c r="C44" s="27">
        <f t="shared" si="22"/>
        <v>4419105</v>
      </c>
      <c r="D44" s="27">
        <f t="shared" si="22"/>
        <v>5081150</v>
      </c>
      <c r="E44" s="27">
        <f t="shared" si="22"/>
        <v>22394587</v>
      </c>
      <c r="F44" s="27">
        <f t="shared" si="22"/>
        <v>28129591</v>
      </c>
      <c r="G44" s="27">
        <f t="shared" si="22"/>
        <v>24360251</v>
      </c>
      <c r="H44" s="27">
        <f t="shared" si="22"/>
        <v>24360251</v>
      </c>
      <c r="I44" s="27">
        <f t="shared" si="22"/>
        <v>24360251</v>
      </c>
      <c r="J44" s="27">
        <f t="shared" si="22"/>
        <v>0</v>
      </c>
      <c r="K44" s="29">
        <f t="shared" si="22"/>
        <v>21314726</v>
      </c>
    </row>
    <row r="45" spans="1:11" ht="15">
      <c r="A45" s="155" t="s">
        <v>79</v>
      </c>
      <c r="B45" s="128" t="s">
        <v>80</v>
      </c>
      <c r="C45" s="27"/>
      <c r="D45" s="27"/>
      <c r="E45" s="27"/>
      <c r="F45" s="27"/>
      <c r="G45" s="27"/>
      <c r="H45" s="27"/>
      <c r="I45" s="27"/>
      <c r="J45" s="27"/>
      <c r="K45" s="29"/>
    </row>
    <row r="46" spans="1:11" ht="15" hidden="1">
      <c r="A46" s="155" t="s">
        <v>81</v>
      </c>
      <c r="B46" s="128" t="s">
        <v>82</v>
      </c>
      <c r="C46" s="27"/>
      <c r="D46" s="27"/>
      <c r="E46" s="27"/>
      <c r="F46" s="27"/>
      <c r="G46" s="27"/>
      <c r="H46" s="27"/>
      <c r="I46" s="27"/>
      <c r="J46" s="27"/>
      <c r="K46" s="29"/>
    </row>
    <row r="47" spans="1:11" ht="24" hidden="1">
      <c r="A47" s="154" t="s">
        <v>83</v>
      </c>
      <c r="B47" s="127" t="s">
        <v>84</v>
      </c>
      <c r="C47" s="24">
        <f>C48</f>
        <v>0</v>
      </c>
      <c r="D47" s="24">
        <f>D48</f>
        <v>0</v>
      </c>
      <c r="E47" s="24">
        <f t="shared" ref="E47:K47" si="23">E48</f>
        <v>0</v>
      </c>
      <c r="F47" s="24">
        <f t="shared" si="23"/>
        <v>0</v>
      </c>
      <c r="G47" s="24">
        <f t="shared" si="23"/>
        <v>0</v>
      </c>
      <c r="H47" s="24">
        <f t="shared" si="23"/>
        <v>0</v>
      </c>
      <c r="I47" s="24">
        <f t="shared" si="23"/>
        <v>0</v>
      </c>
      <c r="J47" s="24">
        <f t="shared" si="23"/>
        <v>0</v>
      </c>
      <c r="K47" s="25">
        <f t="shared" si="23"/>
        <v>0</v>
      </c>
    </row>
    <row r="48" spans="1:11" ht="15" hidden="1">
      <c r="A48" s="155" t="s">
        <v>85</v>
      </c>
      <c r="B48" s="128" t="s">
        <v>86</v>
      </c>
      <c r="C48" s="27">
        <f>C177+C299</f>
        <v>0</v>
      </c>
      <c r="D48" s="27">
        <f>D177+D299</f>
        <v>0</v>
      </c>
      <c r="E48" s="27">
        <f t="shared" ref="E48:K48" si="24">E177+E299</f>
        <v>0</v>
      </c>
      <c r="F48" s="27">
        <f t="shared" si="24"/>
        <v>0</v>
      </c>
      <c r="G48" s="27">
        <f t="shared" si="24"/>
        <v>0</v>
      </c>
      <c r="H48" s="27">
        <f t="shared" si="24"/>
        <v>0</v>
      </c>
      <c r="I48" s="27">
        <f t="shared" si="24"/>
        <v>0</v>
      </c>
      <c r="J48" s="27">
        <f t="shared" si="24"/>
        <v>0</v>
      </c>
      <c r="K48" s="29">
        <f t="shared" si="24"/>
        <v>0</v>
      </c>
    </row>
    <row r="49" spans="1:11" ht="36" hidden="1">
      <c r="A49" s="154" t="s">
        <v>87</v>
      </c>
      <c r="B49" s="127" t="s">
        <v>88</v>
      </c>
      <c r="C49" s="24">
        <f>C50+C51</f>
        <v>0</v>
      </c>
      <c r="D49" s="24">
        <f>D50+D51</f>
        <v>0</v>
      </c>
      <c r="E49" s="24">
        <f t="shared" ref="E49:K49" si="25">E50+E51</f>
        <v>0</v>
      </c>
      <c r="F49" s="24">
        <f t="shared" si="25"/>
        <v>0</v>
      </c>
      <c r="G49" s="24">
        <f t="shared" si="25"/>
        <v>0</v>
      </c>
      <c r="H49" s="24">
        <f t="shared" si="25"/>
        <v>0</v>
      </c>
      <c r="I49" s="24">
        <f t="shared" si="25"/>
        <v>0</v>
      </c>
      <c r="J49" s="24">
        <f t="shared" si="25"/>
        <v>0</v>
      </c>
      <c r="K49" s="39">
        <f t="shared" si="25"/>
        <v>0</v>
      </c>
    </row>
    <row r="50" spans="1:11" ht="15" hidden="1">
      <c r="A50" s="155" t="s">
        <v>89</v>
      </c>
      <c r="B50" s="128" t="s">
        <v>90</v>
      </c>
      <c r="C50" s="27"/>
      <c r="D50" s="27"/>
      <c r="E50" s="27"/>
      <c r="F50" s="27"/>
      <c r="G50" s="27"/>
      <c r="H50" s="27"/>
      <c r="I50" s="27"/>
      <c r="J50" s="27"/>
      <c r="K50" s="29"/>
    </row>
    <row r="51" spans="1:11" ht="15">
      <c r="A51" s="155" t="s">
        <v>91</v>
      </c>
      <c r="B51" s="128" t="s">
        <v>92</v>
      </c>
      <c r="C51" s="27"/>
      <c r="D51" s="27"/>
      <c r="E51" s="27"/>
      <c r="F51" s="27"/>
      <c r="G51" s="27"/>
      <c r="H51" s="27"/>
      <c r="I51" s="27"/>
      <c r="J51" s="27"/>
      <c r="K51" s="29"/>
    </row>
    <row r="52" spans="1:11" ht="15">
      <c r="A52" s="40" t="s">
        <v>93</v>
      </c>
      <c r="B52" s="168" t="s">
        <v>94</v>
      </c>
      <c r="C52" s="27">
        <f t="shared" ref="C52:K53" si="26">C181+C303</f>
        <v>81800</v>
      </c>
      <c r="D52" s="27">
        <f t="shared" si="26"/>
        <v>56800</v>
      </c>
      <c r="E52" s="27">
        <f t="shared" si="26"/>
        <v>4851800</v>
      </c>
      <c r="F52" s="27">
        <f t="shared" si="26"/>
        <v>2071800</v>
      </c>
      <c r="G52" s="27">
        <f t="shared" si="26"/>
        <v>2045235</v>
      </c>
      <c r="H52" s="27">
        <f t="shared" si="26"/>
        <v>2045235</v>
      </c>
      <c r="I52" s="27">
        <f t="shared" si="26"/>
        <v>2045235</v>
      </c>
      <c r="J52" s="27">
        <f t="shared" si="26"/>
        <v>0</v>
      </c>
      <c r="K52" s="29">
        <f t="shared" si="26"/>
        <v>2045235</v>
      </c>
    </row>
    <row r="53" spans="1:11" ht="24">
      <c r="A53" s="155" t="s">
        <v>95</v>
      </c>
      <c r="B53" s="128" t="s">
        <v>96</v>
      </c>
      <c r="C53" s="27">
        <f t="shared" si="26"/>
        <v>3590000</v>
      </c>
      <c r="D53" s="27">
        <f t="shared" si="26"/>
        <v>6174000</v>
      </c>
      <c r="E53" s="27">
        <f t="shared" si="26"/>
        <v>3620000</v>
      </c>
      <c r="F53" s="27">
        <f t="shared" si="26"/>
        <v>6165805</v>
      </c>
      <c r="G53" s="27">
        <f t="shared" si="26"/>
        <v>5431421</v>
      </c>
      <c r="H53" s="27">
        <f t="shared" si="26"/>
        <v>5431421</v>
      </c>
      <c r="I53" s="27">
        <f t="shared" si="26"/>
        <v>5431421</v>
      </c>
      <c r="J53" s="27">
        <f t="shared" si="26"/>
        <v>0</v>
      </c>
      <c r="K53" s="29">
        <f t="shared" si="26"/>
        <v>3199436</v>
      </c>
    </row>
    <row r="54" spans="1:11" ht="24">
      <c r="A54" s="153" t="s">
        <v>97</v>
      </c>
      <c r="B54" s="126" t="s">
        <v>98</v>
      </c>
      <c r="C54" s="21">
        <f>C55+C58+C59</f>
        <v>0</v>
      </c>
      <c r="D54" s="21">
        <f>D55+D58+D59</f>
        <v>0</v>
      </c>
      <c r="E54" s="21">
        <f t="shared" ref="E54:K54" si="27">E55+E58+E59</f>
        <v>8027000</v>
      </c>
      <c r="F54" s="21">
        <f t="shared" si="27"/>
        <v>6042000</v>
      </c>
      <c r="G54" s="21">
        <f t="shared" si="27"/>
        <v>5343813</v>
      </c>
      <c r="H54" s="21">
        <f t="shared" si="27"/>
        <v>5343813</v>
      </c>
      <c r="I54" s="21">
        <f t="shared" si="27"/>
        <v>5343813</v>
      </c>
      <c r="J54" s="21">
        <f t="shared" si="27"/>
        <v>0</v>
      </c>
      <c r="K54" s="22">
        <f t="shared" si="27"/>
        <v>5273090</v>
      </c>
    </row>
    <row r="55" spans="1:11" ht="36" hidden="1">
      <c r="A55" s="154" t="s">
        <v>99</v>
      </c>
      <c r="B55" s="127" t="s">
        <v>100</v>
      </c>
      <c r="C55" s="24">
        <f>C56+C57</f>
        <v>0</v>
      </c>
      <c r="D55" s="24">
        <f>D56+D57</f>
        <v>0</v>
      </c>
      <c r="E55" s="24">
        <f t="shared" ref="E55:K55" si="28">E56+E57</f>
        <v>0</v>
      </c>
      <c r="F55" s="24">
        <f t="shared" si="28"/>
        <v>0</v>
      </c>
      <c r="G55" s="24">
        <f t="shared" si="28"/>
        <v>0</v>
      </c>
      <c r="H55" s="24">
        <f t="shared" si="28"/>
        <v>0</v>
      </c>
      <c r="I55" s="24">
        <f t="shared" si="28"/>
        <v>0</v>
      </c>
      <c r="J55" s="24">
        <f t="shared" si="28"/>
        <v>0</v>
      </c>
      <c r="K55" s="25">
        <f t="shared" si="28"/>
        <v>0</v>
      </c>
    </row>
    <row r="56" spans="1:11" ht="15">
      <c r="A56" s="155" t="s">
        <v>101</v>
      </c>
      <c r="B56" s="128" t="s">
        <v>102</v>
      </c>
      <c r="C56" s="27"/>
      <c r="D56" s="27"/>
      <c r="E56" s="27"/>
      <c r="F56" s="27"/>
      <c r="G56" s="27"/>
      <c r="H56" s="27"/>
      <c r="I56" s="27"/>
      <c r="J56" s="27"/>
      <c r="K56" s="29"/>
    </row>
    <row r="57" spans="1:11" ht="15">
      <c r="A57" s="155" t="s">
        <v>103</v>
      </c>
      <c r="B57" s="129" t="s">
        <v>104</v>
      </c>
      <c r="C57" s="27"/>
      <c r="D57" s="27"/>
      <c r="E57" s="27"/>
      <c r="F57" s="27"/>
      <c r="G57" s="27"/>
      <c r="H57" s="27"/>
      <c r="I57" s="27"/>
      <c r="J57" s="27"/>
      <c r="K57" s="29"/>
    </row>
    <row r="58" spans="1:11" ht="15">
      <c r="A58" s="155" t="s">
        <v>105</v>
      </c>
      <c r="B58" s="129" t="s">
        <v>106</v>
      </c>
      <c r="C58" s="27"/>
      <c r="D58" s="27"/>
      <c r="E58" s="27">
        <f t="shared" ref="E58:K58" si="29">E187+E309</f>
        <v>2795000</v>
      </c>
      <c r="F58" s="27">
        <f t="shared" si="29"/>
        <v>526000</v>
      </c>
      <c r="G58" s="27">
        <f t="shared" si="29"/>
        <v>525709</v>
      </c>
      <c r="H58" s="27">
        <f t="shared" si="29"/>
        <v>525709</v>
      </c>
      <c r="I58" s="27">
        <f t="shared" si="29"/>
        <v>525709</v>
      </c>
      <c r="J58" s="27">
        <f t="shared" si="29"/>
        <v>0</v>
      </c>
      <c r="K58" s="29">
        <f t="shared" si="29"/>
        <v>477520</v>
      </c>
    </row>
    <row r="59" spans="1:11" ht="36">
      <c r="A59" s="154" t="s">
        <v>107</v>
      </c>
      <c r="B59" s="127" t="s">
        <v>108</v>
      </c>
      <c r="C59" s="24"/>
      <c r="D59" s="24"/>
      <c r="E59" s="24">
        <f t="shared" ref="E59:K59" si="30">E60</f>
        <v>5232000</v>
      </c>
      <c r="F59" s="24">
        <f t="shared" si="30"/>
        <v>5516000</v>
      </c>
      <c r="G59" s="24">
        <f t="shared" si="30"/>
        <v>4818104</v>
      </c>
      <c r="H59" s="24">
        <f t="shared" si="30"/>
        <v>4818104</v>
      </c>
      <c r="I59" s="24">
        <f t="shared" si="30"/>
        <v>4818104</v>
      </c>
      <c r="J59" s="24">
        <f t="shared" si="30"/>
        <v>0</v>
      </c>
      <c r="K59" s="25">
        <f t="shared" si="30"/>
        <v>4795570</v>
      </c>
    </row>
    <row r="60" spans="1:11" ht="26.25" customHeight="1">
      <c r="A60" s="155" t="s">
        <v>109</v>
      </c>
      <c r="B60" s="128" t="s">
        <v>110</v>
      </c>
      <c r="C60" s="27"/>
      <c r="D60" s="27"/>
      <c r="E60" s="27">
        <f t="shared" ref="E60:K60" si="31">E189+E311</f>
        <v>5232000</v>
      </c>
      <c r="F60" s="27">
        <f t="shared" si="31"/>
        <v>5516000</v>
      </c>
      <c r="G60" s="27">
        <f t="shared" si="31"/>
        <v>4818104</v>
      </c>
      <c r="H60" s="27">
        <f t="shared" si="31"/>
        <v>4818104</v>
      </c>
      <c r="I60" s="27">
        <f t="shared" si="31"/>
        <v>4818104</v>
      </c>
      <c r="J60" s="27">
        <f t="shared" si="31"/>
        <v>0</v>
      </c>
      <c r="K60" s="41">
        <f t="shared" si="31"/>
        <v>4795570</v>
      </c>
    </row>
    <row r="61" spans="1:11" ht="48">
      <c r="A61" s="153" t="s">
        <v>111</v>
      </c>
      <c r="B61" s="126" t="s">
        <v>112</v>
      </c>
      <c r="C61" s="21">
        <f>C62+C72+C76+C77</f>
        <v>15175150</v>
      </c>
      <c r="D61" s="21">
        <f>D62+D72+D76+D77</f>
        <v>20155451</v>
      </c>
      <c r="E61" s="21">
        <f>E62+E72+E76+E77</f>
        <v>51219150</v>
      </c>
      <c r="F61" s="21">
        <f t="shared" ref="F61:K61" si="32">F62+F72+F76+F77</f>
        <v>60567238</v>
      </c>
      <c r="G61" s="21">
        <f t="shared" si="32"/>
        <v>52670227</v>
      </c>
      <c r="H61" s="21">
        <f t="shared" si="32"/>
        <v>52670227</v>
      </c>
      <c r="I61" s="21">
        <f t="shared" si="32"/>
        <v>52670227</v>
      </c>
      <c r="J61" s="21">
        <f t="shared" si="32"/>
        <v>0</v>
      </c>
      <c r="K61" s="31">
        <f t="shared" si="32"/>
        <v>40968390</v>
      </c>
    </row>
    <row r="62" spans="1:11" ht="48">
      <c r="A62" s="156" t="s">
        <v>113</v>
      </c>
      <c r="B62" s="127" t="s">
        <v>114</v>
      </c>
      <c r="C62" s="24">
        <f>C63+C64+C65+C66+C67+C68+C69+C70+C71</f>
        <v>3604500</v>
      </c>
      <c r="D62" s="24">
        <f>D63+D64+D65+D66+D67+D68+D69+D70+D71</f>
        <v>2303500</v>
      </c>
      <c r="E62" s="24">
        <f>E63+E64+E65+E66+E67+E68+E69+E70+E71</f>
        <v>25141500</v>
      </c>
      <c r="F62" s="24">
        <f t="shared" ref="F62:K62" si="33">F63+F64+F65+F66+F67+F68+F69+F70+F71</f>
        <v>27862942</v>
      </c>
      <c r="G62" s="24">
        <f t="shared" si="33"/>
        <v>26657785</v>
      </c>
      <c r="H62" s="24">
        <f t="shared" si="33"/>
        <v>26657785</v>
      </c>
      <c r="I62" s="24">
        <f t="shared" si="33"/>
        <v>26657785</v>
      </c>
      <c r="J62" s="24">
        <f t="shared" si="33"/>
        <v>0</v>
      </c>
      <c r="K62" s="25">
        <f t="shared" si="33"/>
        <v>26052129</v>
      </c>
    </row>
    <row r="63" spans="1:11" ht="24">
      <c r="A63" s="155" t="s">
        <v>115</v>
      </c>
      <c r="B63" s="128" t="s">
        <v>116</v>
      </c>
      <c r="C63" s="27"/>
      <c r="D63" s="27"/>
      <c r="E63" s="27"/>
      <c r="F63" s="27"/>
      <c r="G63" s="27"/>
      <c r="H63" s="27"/>
      <c r="I63" s="27"/>
      <c r="J63" s="27"/>
      <c r="K63" s="29"/>
    </row>
    <row r="64" spans="1:11" ht="15">
      <c r="A64" s="155" t="s">
        <v>117</v>
      </c>
      <c r="B64" s="128" t="s">
        <v>118</v>
      </c>
      <c r="C64" s="27"/>
      <c r="D64" s="27"/>
      <c r="E64" s="27"/>
      <c r="F64" s="27">
        <f t="shared" ref="C64:K67" si="34">F193+F315</f>
        <v>4000</v>
      </c>
      <c r="G64" s="27">
        <f t="shared" si="34"/>
        <v>498</v>
      </c>
      <c r="H64" s="27">
        <f t="shared" si="34"/>
        <v>498</v>
      </c>
      <c r="I64" s="27">
        <f t="shared" si="34"/>
        <v>498</v>
      </c>
      <c r="J64" s="27">
        <f t="shared" si="34"/>
        <v>0</v>
      </c>
      <c r="K64" s="29">
        <f t="shared" si="34"/>
        <v>498</v>
      </c>
    </row>
    <row r="65" spans="1:11" ht="24">
      <c r="A65" s="155" t="s">
        <v>119</v>
      </c>
      <c r="B65" s="128" t="s">
        <v>120</v>
      </c>
      <c r="C65" s="27">
        <f t="shared" si="34"/>
        <v>3604500</v>
      </c>
      <c r="D65" s="27">
        <f t="shared" si="34"/>
        <v>2303500</v>
      </c>
      <c r="E65" s="42">
        <f t="shared" si="34"/>
        <v>20861500</v>
      </c>
      <c r="F65" s="27">
        <f t="shared" si="34"/>
        <v>21658173</v>
      </c>
      <c r="G65" s="27">
        <f t="shared" si="34"/>
        <v>20488250</v>
      </c>
      <c r="H65" s="27">
        <f t="shared" si="34"/>
        <v>20488250</v>
      </c>
      <c r="I65" s="27">
        <f t="shared" si="34"/>
        <v>20488250</v>
      </c>
      <c r="J65" s="27">
        <f t="shared" si="34"/>
        <v>0</v>
      </c>
      <c r="K65" s="29">
        <f t="shared" si="34"/>
        <v>19654172</v>
      </c>
    </row>
    <row r="66" spans="1:11" ht="24">
      <c r="A66" s="155" t="s">
        <v>121</v>
      </c>
      <c r="B66" s="128" t="s">
        <v>122</v>
      </c>
      <c r="C66" s="27"/>
      <c r="D66" s="27"/>
      <c r="E66" s="27"/>
      <c r="F66" s="27"/>
      <c r="G66" s="27"/>
      <c r="H66" s="27"/>
      <c r="I66" s="27"/>
      <c r="J66" s="27"/>
      <c r="K66" s="29"/>
    </row>
    <row r="67" spans="1:11" ht="15">
      <c r="A67" s="155" t="s">
        <v>123</v>
      </c>
      <c r="B67" s="128" t="s">
        <v>124</v>
      </c>
      <c r="C67" s="27"/>
      <c r="D67" s="27"/>
      <c r="E67" s="27">
        <f t="shared" si="34"/>
        <v>4000000</v>
      </c>
      <c r="F67" s="27">
        <f t="shared" si="34"/>
        <v>6000000</v>
      </c>
      <c r="G67" s="27">
        <f t="shared" si="34"/>
        <v>5984180</v>
      </c>
      <c r="H67" s="27">
        <f t="shared" si="34"/>
        <v>5984180</v>
      </c>
      <c r="I67" s="27">
        <f t="shared" si="34"/>
        <v>5984180</v>
      </c>
      <c r="J67" s="27">
        <f t="shared" si="34"/>
        <v>0</v>
      </c>
      <c r="K67" s="29">
        <f t="shared" si="34"/>
        <v>6063371</v>
      </c>
    </row>
    <row r="68" spans="1:11" ht="15">
      <c r="A68" s="155" t="s">
        <v>125</v>
      </c>
      <c r="B68" s="128" t="s">
        <v>126</v>
      </c>
      <c r="C68" s="27"/>
      <c r="D68" s="27"/>
      <c r="E68" s="27"/>
      <c r="F68" s="27"/>
      <c r="G68" s="27"/>
      <c r="H68" s="27"/>
      <c r="I68" s="27"/>
      <c r="J68" s="27"/>
      <c r="K68" s="29"/>
    </row>
    <row r="69" spans="1:11" ht="24" hidden="1">
      <c r="A69" s="155" t="s">
        <v>127</v>
      </c>
      <c r="B69" s="128" t="s">
        <v>128</v>
      </c>
      <c r="C69" s="27"/>
      <c r="D69" s="27"/>
      <c r="E69" s="27"/>
      <c r="F69" s="27"/>
      <c r="G69" s="27"/>
      <c r="H69" s="27"/>
      <c r="I69" s="27"/>
      <c r="J69" s="27"/>
      <c r="K69" s="29"/>
    </row>
    <row r="70" spans="1:11" ht="24" hidden="1">
      <c r="A70" s="155" t="s">
        <v>129</v>
      </c>
      <c r="B70" s="128" t="s">
        <v>130</v>
      </c>
      <c r="C70" s="27"/>
      <c r="D70" s="27"/>
      <c r="E70" s="27"/>
      <c r="F70" s="27"/>
      <c r="G70" s="27"/>
      <c r="H70" s="27"/>
      <c r="I70" s="27"/>
      <c r="J70" s="27"/>
      <c r="K70" s="29"/>
    </row>
    <row r="71" spans="1:11" ht="15">
      <c r="A71" s="155" t="s">
        <v>131</v>
      </c>
      <c r="B71" s="128" t="s">
        <v>132</v>
      </c>
      <c r="C71" s="27"/>
      <c r="D71" s="27"/>
      <c r="E71" s="42">
        <f t="shared" ref="E71:K71" si="35">E200+E322</f>
        <v>280000</v>
      </c>
      <c r="F71" s="27">
        <f t="shared" si="35"/>
        <v>200769</v>
      </c>
      <c r="G71" s="27">
        <f t="shared" si="35"/>
        <v>184857</v>
      </c>
      <c r="H71" s="27">
        <f t="shared" si="35"/>
        <v>184857</v>
      </c>
      <c r="I71" s="27">
        <f t="shared" si="35"/>
        <v>184857</v>
      </c>
      <c r="J71" s="27">
        <f t="shared" si="35"/>
        <v>0</v>
      </c>
      <c r="K71" s="29">
        <f t="shared" si="35"/>
        <v>334088</v>
      </c>
    </row>
    <row r="72" spans="1:11" ht="24">
      <c r="A72" s="154" t="s">
        <v>133</v>
      </c>
      <c r="B72" s="127" t="s">
        <v>134</v>
      </c>
      <c r="C72" s="24"/>
      <c r="D72" s="24"/>
      <c r="E72" s="24">
        <f>E73+E74+E75</f>
        <v>14507000</v>
      </c>
      <c r="F72" s="24">
        <f t="shared" ref="F72:K72" si="36">F73+F74+F75</f>
        <v>14852345</v>
      </c>
      <c r="G72" s="24">
        <f t="shared" si="36"/>
        <v>14799697</v>
      </c>
      <c r="H72" s="24">
        <f t="shared" si="36"/>
        <v>14799697</v>
      </c>
      <c r="I72" s="24">
        <f t="shared" si="36"/>
        <v>14799697</v>
      </c>
      <c r="J72" s="24">
        <f t="shared" si="36"/>
        <v>0</v>
      </c>
      <c r="K72" s="39">
        <f t="shared" si="36"/>
        <v>14804352</v>
      </c>
    </row>
    <row r="73" spans="1:11" ht="15">
      <c r="A73" s="155" t="s">
        <v>135</v>
      </c>
      <c r="B73" s="128" t="s">
        <v>136</v>
      </c>
      <c r="C73" s="27"/>
      <c r="D73" s="27"/>
      <c r="E73" s="42">
        <f t="shared" ref="E73:K73" si="37">E202+E324</f>
        <v>6507000</v>
      </c>
      <c r="F73" s="27">
        <f t="shared" si="37"/>
        <v>6507000</v>
      </c>
      <c r="G73" s="27">
        <f t="shared" si="37"/>
        <v>6468421</v>
      </c>
      <c r="H73" s="27">
        <f t="shared" si="37"/>
        <v>6468421</v>
      </c>
      <c r="I73" s="27">
        <f t="shared" si="37"/>
        <v>6468421</v>
      </c>
      <c r="J73" s="27">
        <f t="shared" si="37"/>
        <v>0</v>
      </c>
      <c r="K73" s="27">
        <f t="shared" si="37"/>
        <v>6468421</v>
      </c>
    </row>
    <row r="74" spans="1:11" ht="15">
      <c r="A74" s="155" t="s">
        <v>137</v>
      </c>
      <c r="B74" s="128" t="s">
        <v>138</v>
      </c>
      <c r="C74" s="27"/>
      <c r="D74" s="27"/>
      <c r="E74" s="27"/>
      <c r="F74" s="27"/>
      <c r="G74" s="27"/>
      <c r="H74" s="27"/>
      <c r="I74" s="27"/>
      <c r="J74" s="27"/>
      <c r="K74" s="29"/>
    </row>
    <row r="75" spans="1:11" ht="27.75" customHeight="1">
      <c r="A75" s="155" t="s">
        <v>139</v>
      </c>
      <c r="B75" s="128" t="s">
        <v>140</v>
      </c>
      <c r="C75" s="27"/>
      <c r="D75" s="27"/>
      <c r="E75" s="42">
        <f t="shared" ref="E75:K75" si="38">E204+E326</f>
        <v>8000000</v>
      </c>
      <c r="F75" s="27">
        <f t="shared" si="38"/>
        <v>8345345</v>
      </c>
      <c r="G75" s="27">
        <f t="shared" si="38"/>
        <v>8331276</v>
      </c>
      <c r="H75" s="27">
        <f t="shared" si="38"/>
        <v>8331276</v>
      </c>
      <c r="I75" s="27">
        <f t="shared" si="38"/>
        <v>8331276</v>
      </c>
      <c r="J75" s="27">
        <f t="shared" si="38"/>
        <v>0</v>
      </c>
      <c r="K75" s="29">
        <f t="shared" si="38"/>
        <v>8335931</v>
      </c>
    </row>
    <row r="76" spans="1:11" ht="15">
      <c r="A76" s="155" t="s">
        <v>141</v>
      </c>
      <c r="B76" s="128" t="s">
        <v>142</v>
      </c>
      <c r="C76" s="27"/>
      <c r="D76" s="27"/>
      <c r="E76" s="27"/>
      <c r="F76" s="27"/>
      <c r="G76" s="27"/>
      <c r="H76" s="27"/>
      <c r="I76" s="27"/>
      <c r="J76" s="27"/>
      <c r="K76" s="29"/>
    </row>
    <row r="77" spans="1:11" ht="24">
      <c r="A77" s="155" t="s">
        <v>143</v>
      </c>
      <c r="B77" s="128" t="s">
        <v>144</v>
      </c>
      <c r="C77" s="27">
        <f t="shared" ref="C77:K77" si="39">C206+C328</f>
        <v>11570650</v>
      </c>
      <c r="D77" s="27">
        <f t="shared" si="39"/>
        <v>17851951</v>
      </c>
      <c r="E77" s="42">
        <f t="shared" si="39"/>
        <v>11570650</v>
      </c>
      <c r="F77" s="27">
        <f t="shared" si="39"/>
        <v>17851951</v>
      </c>
      <c r="G77" s="27">
        <f t="shared" si="39"/>
        <v>11212745</v>
      </c>
      <c r="H77" s="27">
        <f t="shared" si="39"/>
        <v>11212745</v>
      </c>
      <c r="I77" s="27">
        <f t="shared" si="39"/>
        <v>11212745</v>
      </c>
      <c r="J77" s="27">
        <f t="shared" si="39"/>
        <v>0</v>
      </c>
      <c r="K77" s="29">
        <f t="shared" si="39"/>
        <v>111909</v>
      </c>
    </row>
    <row r="78" spans="1:11" ht="15" hidden="1">
      <c r="A78" s="158" t="s">
        <v>145</v>
      </c>
      <c r="B78" s="128"/>
      <c r="C78" s="43">
        <f>C79+C60-'[1]Prim+SPAS'!D189-C311</f>
        <v>440000</v>
      </c>
      <c r="D78" s="43">
        <f>D79+D60-'[1]Prim+SPAS'!E189-D311</f>
        <v>854000</v>
      </c>
      <c r="E78" s="43">
        <f>E79+E60-'[1]Prim+SPAS'!F189-E311</f>
        <v>48890000</v>
      </c>
      <c r="F78" s="43">
        <f>F79+F60-'[1]Prim+SPAS'!G189-F311</f>
        <v>50726627</v>
      </c>
      <c r="G78" s="43">
        <f>G79+G60-'[1]Prim+SPAS'!H189-G311</f>
        <v>49589819</v>
      </c>
      <c r="H78" s="43">
        <f>H79+H60-'[1]Prim+SPAS'!I189-H311</f>
        <v>49589819</v>
      </c>
      <c r="I78" s="43">
        <f>I79+I60-'[1]Prim+SPAS'!J189-I311</f>
        <v>49589819</v>
      </c>
      <c r="J78" s="43">
        <f>J79+J60-'[1]Prim+SPAS'!K189-J311</f>
        <v>0</v>
      </c>
      <c r="K78" s="43">
        <f>K79+K60-'[1]Prim+SPAS'!L189-K311</f>
        <v>50096284</v>
      </c>
    </row>
    <row r="79" spans="1:11" ht="48">
      <c r="A79" s="153" t="s">
        <v>146</v>
      </c>
      <c r="B79" s="126" t="s">
        <v>147</v>
      </c>
      <c r="C79" s="21">
        <f>C80+C81+C83+C84+C85+C86+C87+C90</f>
        <v>3548600</v>
      </c>
      <c r="D79" s="21">
        <f t="shared" ref="D79:K79" si="40">D80+D81+D83+D84+D85+D86+D87+D91</f>
        <v>3961600</v>
      </c>
      <c r="E79" s="21">
        <f>E80+E81+E83+E84+E85+E86+E87+E91</f>
        <v>47158600</v>
      </c>
      <c r="F79" s="21">
        <f t="shared" si="40"/>
        <v>48710227</v>
      </c>
      <c r="G79" s="21">
        <f t="shared" si="40"/>
        <v>48057676</v>
      </c>
      <c r="H79" s="21">
        <f t="shared" si="40"/>
        <v>48057676</v>
      </c>
      <c r="I79" s="21">
        <f>I80+I81+I83+I84+I85+I86+I87+I91</f>
        <v>48057676</v>
      </c>
      <c r="J79" s="21">
        <f t="shared" si="40"/>
        <v>0</v>
      </c>
      <c r="K79" s="22">
        <f t="shared" si="40"/>
        <v>52655804</v>
      </c>
    </row>
    <row r="80" spans="1:11" ht="24">
      <c r="A80" s="155" t="s">
        <v>148</v>
      </c>
      <c r="B80" s="128" t="s">
        <v>149</v>
      </c>
      <c r="C80" s="44">
        <f t="shared" ref="C80:K80" si="41">C208+C330</f>
        <v>300000</v>
      </c>
      <c r="D80" s="44">
        <f t="shared" si="41"/>
        <v>720000</v>
      </c>
      <c r="E80" s="44">
        <f t="shared" si="41"/>
        <v>300000</v>
      </c>
      <c r="F80" s="44">
        <f t="shared" si="41"/>
        <v>720000</v>
      </c>
      <c r="G80" s="44">
        <f t="shared" si="41"/>
        <v>413503</v>
      </c>
      <c r="H80" s="44">
        <f t="shared" si="41"/>
        <v>413503</v>
      </c>
      <c r="I80" s="44">
        <f t="shared" si="41"/>
        <v>413503</v>
      </c>
      <c r="J80" s="44">
        <f t="shared" si="41"/>
        <v>0</v>
      </c>
      <c r="K80" s="45">
        <f t="shared" si="41"/>
        <v>379806</v>
      </c>
    </row>
    <row r="81" spans="1:11" ht="24">
      <c r="A81" s="154" t="s">
        <v>150</v>
      </c>
      <c r="B81" s="127" t="s">
        <v>151</v>
      </c>
      <c r="C81" s="24"/>
      <c r="D81" s="24"/>
      <c r="E81" s="24">
        <f t="shared" ref="E81:K81" si="42">E82</f>
        <v>34680000</v>
      </c>
      <c r="F81" s="24">
        <f t="shared" si="42"/>
        <v>35560000</v>
      </c>
      <c r="G81" s="24">
        <f t="shared" si="42"/>
        <v>35550767</v>
      </c>
      <c r="H81" s="24">
        <f t="shared" si="42"/>
        <v>35550767</v>
      </c>
      <c r="I81" s="24">
        <f t="shared" si="42"/>
        <v>35550767</v>
      </c>
      <c r="J81" s="24">
        <f t="shared" si="42"/>
        <v>0</v>
      </c>
      <c r="K81" s="25">
        <f t="shared" si="42"/>
        <v>35917196</v>
      </c>
    </row>
    <row r="82" spans="1:11" ht="24">
      <c r="A82" s="155" t="s">
        <v>152</v>
      </c>
      <c r="B82" s="128" t="s">
        <v>153</v>
      </c>
      <c r="C82" s="27"/>
      <c r="D82" s="27"/>
      <c r="E82" s="27">
        <f t="shared" ref="E82:K86" si="43">E210+E332</f>
        <v>34680000</v>
      </c>
      <c r="F82" s="27">
        <f t="shared" si="43"/>
        <v>35560000</v>
      </c>
      <c r="G82" s="27">
        <f t="shared" si="43"/>
        <v>35550767</v>
      </c>
      <c r="H82" s="27">
        <f t="shared" si="43"/>
        <v>35550767</v>
      </c>
      <c r="I82" s="27">
        <f t="shared" si="43"/>
        <v>35550767</v>
      </c>
      <c r="J82" s="27">
        <f t="shared" si="43"/>
        <v>0</v>
      </c>
      <c r="K82" s="29">
        <f t="shared" si="43"/>
        <v>35917196</v>
      </c>
    </row>
    <row r="83" spans="1:11" ht="24" hidden="1">
      <c r="A83" s="155" t="s">
        <v>154</v>
      </c>
      <c r="B83" s="128" t="s">
        <v>155</v>
      </c>
      <c r="C83" s="27"/>
      <c r="D83" s="27"/>
      <c r="E83" s="27">
        <f t="shared" si="43"/>
        <v>0</v>
      </c>
      <c r="F83" s="27">
        <f t="shared" si="43"/>
        <v>0</v>
      </c>
      <c r="G83" s="27">
        <f t="shared" si="43"/>
        <v>0</v>
      </c>
      <c r="H83" s="27">
        <f t="shared" si="43"/>
        <v>0</v>
      </c>
      <c r="I83" s="27">
        <f t="shared" si="43"/>
        <v>0</v>
      </c>
      <c r="J83" s="27">
        <f t="shared" si="43"/>
        <v>0</v>
      </c>
      <c r="K83" s="29">
        <f t="shared" si="43"/>
        <v>0</v>
      </c>
    </row>
    <row r="84" spans="1:11" ht="15" hidden="1">
      <c r="A84" s="155" t="s">
        <v>156</v>
      </c>
      <c r="B84" s="128" t="s">
        <v>157</v>
      </c>
      <c r="C84" s="27"/>
      <c r="D84" s="27"/>
      <c r="E84" s="27">
        <f t="shared" si="43"/>
        <v>0</v>
      </c>
      <c r="F84" s="27">
        <f t="shared" si="43"/>
        <v>0</v>
      </c>
      <c r="G84" s="27">
        <f t="shared" si="43"/>
        <v>0</v>
      </c>
      <c r="H84" s="27">
        <f t="shared" si="43"/>
        <v>0</v>
      </c>
      <c r="I84" s="27">
        <f t="shared" si="43"/>
        <v>0</v>
      </c>
      <c r="J84" s="27">
        <f t="shared" si="43"/>
        <v>0</v>
      </c>
      <c r="K84" s="29">
        <f t="shared" si="43"/>
        <v>0</v>
      </c>
    </row>
    <row r="85" spans="1:11" ht="15" hidden="1">
      <c r="A85" s="155" t="s">
        <v>158</v>
      </c>
      <c r="B85" s="128" t="s">
        <v>159</v>
      </c>
      <c r="C85" s="27"/>
      <c r="D85" s="27"/>
      <c r="E85" s="27">
        <f t="shared" si="43"/>
        <v>0</v>
      </c>
      <c r="F85" s="27">
        <f t="shared" si="43"/>
        <v>0</v>
      </c>
      <c r="G85" s="27">
        <f t="shared" si="43"/>
        <v>0</v>
      </c>
      <c r="H85" s="27">
        <f t="shared" si="43"/>
        <v>0</v>
      </c>
      <c r="I85" s="27">
        <f t="shared" si="43"/>
        <v>0</v>
      </c>
      <c r="J85" s="27">
        <f t="shared" si="43"/>
        <v>0</v>
      </c>
      <c r="K85" s="29">
        <f t="shared" si="43"/>
        <v>0</v>
      </c>
    </row>
    <row r="86" spans="1:11" ht="24" hidden="1">
      <c r="A86" s="155" t="s">
        <v>160</v>
      </c>
      <c r="B86" s="129" t="s">
        <v>161</v>
      </c>
      <c r="C86" s="27"/>
      <c r="D86" s="27"/>
      <c r="E86" s="27">
        <f t="shared" si="43"/>
        <v>0</v>
      </c>
      <c r="F86" s="27">
        <f t="shared" si="43"/>
        <v>0</v>
      </c>
      <c r="G86" s="27">
        <f t="shared" si="43"/>
        <v>0</v>
      </c>
      <c r="H86" s="27">
        <f t="shared" si="43"/>
        <v>0</v>
      </c>
      <c r="I86" s="27">
        <f t="shared" si="43"/>
        <v>0</v>
      </c>
      <c r="J86" s="27">
        <f t="shared" si="43"/>
        <v>0</v>
      </c>
      <c r="K86" s="29">
        <f t="shared" si="43"/>
        <v>0</v>
      </c>
    </row>
    <row r="87" spans="1:11" ht="24">
      <c r="A87" s="154" t="s">
        <v>162</v>
      </c>
      <c r="B87" s="127" t="s">
        <v>163</v>
      </c>
      <c r="C87" s="24"/>
      <c r="D87" s="24"/>
      <c r="E87" s="24">
        <f t="shared" ref="E87:K87" si="44">E89+E88</f>
        <v>60000</v>
      </c>
      <c r="F87" s="24">
        <f t="shared" si="44"/>
        <v>95000</v>
      </c>
      <c r="G87" s="24">
        <f t="shared" si="44"/>
        <v>94768</v>
      </c>
      <c r="H87" s="24">
        <f t="shared" si="44"/>
        <v>94768</v>
      </c>
      <c r="I87" s="24">
        <f t="shared" si="44"/>
        <v>94768</v>
      </c>
      <c r="J87" s="24">
        <f t="shared" si="44"/>
        <v>0</v>
      </c>
      <c r="K87" s="25">
        <f t="shared" si="44"/>
        <v>94268</v>
      </c>
    </row>
    <row r="88" spans="1:11" ht="15">
      <c r="A88" s="155" t="s">
        <v>164</v>
      </c>
      <c r="B88" s="128" t="s">
        <v>165</v>
      </c>
      <c r="C88" s="27"/>
      <c r="D88" s="27"/>
      <c r="E88" s="27">
        <f t="shared" ref="E88:K88" si="45">E216+E338</f>
        <v>60000</v>
      </c>
      <c r="F88" s="27">
        <f t="shared" si="45"/>
        <v>95000</v>
      </c>
      <c r="G88" s="27">
        <f t="shared" si="45"/>
        <v>94768</v>
      </c>
      <c r="H88" s="27">
        <f t="shared" si="45"/>
        <v>94768</v>
      </c>
      <c r="I88" s="27">
        <f t="shared" si="45"/>
        <v>94768</v>
      </c>
      <c r="J88" s="27">
        <f t="shared" si="45"/>
        <v>0</v>
      </c>
      <c r="K88" s="29">
        <f t="shared" si="45"/>
        <v>94268</v>
      </c>
    </row>
    <row r="89" spans="1:11" ht="15">
      <c r="A89" s="155" t="s">
        <v>166</v>
      </c>
      <c r="B89" s="128" t="s">
        <v>167</v>
      </c>
      <c r="C89" s="27"/>
      <c r="D89" s="27"/>
      <c r="E89" s="27"/>
      <c r="F89" s="27"/>
      <c r="G89" s="27"/>
      <c r="H89" s="27"/>
      <c r="I89" s="27"/>
      <c r="J89" s="27"/>
      <c r="K89" s="29"/>
    </row>
    <row r="90" spans="1:11" ht="24">
      <c r="A90" s="155" t="s">
        <v>168</v>
      </c>
      <c r="B90" s="128" t="s">
        <v>169</v>
      </c>
      <c r="C90" s="27">
        <f>C91</f>
        <v>3248600</v>
      </c>
      <c r="D90" s="27">
        <f t="shared" ref="D90:K90" si="46">D91</f>
        <v>3241600</v>
      </c>
      <c r="E90" s="27">
        <f t="shared" si="46"/>
        <v>12118600</v>
      </c>
      <c r="F90" s="27">
        <f t="shared" si="46"/>
        <v>12335227</v>
      </c>
      <c r="G90" s="27">
        <f t="shared" si="46"/>
        <v>11998638</v>
      </c>
      <c r="H90" s="27">
        <f t="shared" si="46"/>
        <v>11998638</v>
      </c>
      <c r="I90" s="27">
        <f t="shared" si="46"/>
        <v>11998638</v>
      </c>
      <c r="J90" s="27">
        <f t="shared" si="46"/>
        <v>0</v>
      </c>
      <c r="K90" s="27">
        <f t="shared" si="46"/>
        <v>16264534</v>
      </c>
    </row>
    <row r="91" spans="1:11" ht="24">
      <c r="A91" s="155" t="s">
        <v>170</v>
      </c>
      <c r="B91" s="128" t="s">
        <v>171</v>
      </c>
      <c r="C91" s="27">
        <f t="shared" ref="C91:K91" si="47">C218+C340</f>
        <v>3248600</v>
      </c>
      <c r="D91" s="27">
        <f t="shared" si="47"/>
        <v>3241600</v>
      </c>
      <c r="E91" s="27">
        <f t="shared" si="47"/>
        <v>12118600</v>
      </c>
      <c r="F91" s="27">
        <f t="shared" si="47"/>
        <v>12335227</v>
      </c>
      <c r="G91" s="27">
        <f t="shared" si="47"/>
        <v>11998638</v>
      </c>
      <c r="H91" s="27">
        <f t="shared" si="47"/>
        <v>11998638</v>
      </c>
      <c r="I91" s="27">
        <f t="shared" si="47"/>
        <v>11998638</v>
      </c>
      <c r="J91" s="27">
        <f t="shared" si="47"/>
        <v>0</v>
      </c>
      <c r="K91" s="41">
        <f t="shared" si="47"/>
        <v>16264534</v>
      </c>
    </row>
    <row r="92" spans="1:11" ht="48">
      <c r="A92" s="152" t="s">
        <v>172</v>
      </c>
      <c r="B92" s="169"/>
      <c r="C92" s="46">
        <f>C93+C103</f>
        <v>36452192</v>
      </c>
      <c r="D92" s="18">
        <f>D93+D103</f>
        <v>38672327</v>
      </c>
      <c r="E92" s="18">
        <f t="shared" ref="E92:K92" si="48">E93+E103</f>
        <v>72762192</v>
      </c>
      <c r="F92" s="18">
        <f t="shared" si="48"/>
        <v>67630815</v>
      </c>
      <c r="G92" s="18">
        <f t="shared" si="48"/>
        <v>53314690</v>
      </c>
      <c r="H92" s="18">
        <f t="shared" si="48"/>
        <v>53314690</v>
      </c>
      <c r="I92" s="18">
        <f t="shared" si="48"/>
        <v>53314690</v>
      </c>
      <c r="J92" s="18">
        <f t="shared" si="48"/>
        <v>0</v>
      </c>
      <c r="K92" s="19">
        <f t="shared" si="48"/>
        <v>55334395</v>
      </c>
    </row>
    <row r="93" spans="1:11" ht="48">
      <c r="A93" s="153" t="s">
        <v>173</v>
      </c>
      <c r="B93" s="126" t="s">
        <v>174</v>
      </c>
      <c r="C93" s="47">
        <f>C94+C97+C100+C101+C102</f>
        <v>36452192</v>
      </c>
      <c r="D93" s="21">
        <f>D94+D97+D100+D101+D102</f>
        <v>38672327</v>
      </c>
      <c r="E93" s="21">
        <f t="shared" ref="E93:J93" si="49">E94+E97+E100+E101+E102</f>
        <v>63717192</v>
      </c>
      <c r="F93" s="21">
        <f t="shared" si="49"/>
        <v>62179530</v>
      </c>
      <c r="G93" s="21">
        <f t="shared" si="49"/>
        <v>47966917</v>
      </c>
      <c r="H93" s="21">
        <f t="shared" si="49"/>
        <v>47966917</v>
      </c>
      <c r="I93" s="21">
        <f t="shared" si="49"/>
        <v>47966917</v>
      </c>
      <c r="J93" s="21">
        <f t="shared" si="49"/>
        <v>0</v>
      </c>
      <c r="K93" s="22">
        <f>K94+K97+K100+K101+K102</f>
        <v>49792907</v>
      </c>
    </row>
    <row r="94" spans="1:11" ht="24">
      <c r="A94" s="156" t="s">
        <v>175</v>
      </c>
      <c r="B94" s="127" t="s">
        <v>176</v>
      </c>
      <c r="C94" s="24">
        <f>C95+C96</f>
        <v>14088073</v>
      </c>
      <c r="D94" s="24">
        <f>D95+D96</f>
        <v>14107776</v>
      </c>
      <c r="E94" s="24">
        <f t="shared" ref="E94:K94" si="50">E95+E96</f>
        <v>14088073</v>
      </c>
      <c r="F94" s="24">
        <f t="shared" si="50"/>
        <v>14107776</v>
      </c>
      <c r="G94" s="24">
        <f t="shared" si="50"/>
        <v>8280184</v>
      </c>
      <c r="H94" s="24">
        <f t="shared" si="50"/>
        <v>8280184</v>
      </c>
      <c r="I94" s="24">
        <f t="shared" si="50"/>
        <v>8280184</v>
      </c>
      <c r="J94" s="24">
        <f t="shared" si="50"/>
        <v>0</v>
      </c>
      <c r="K94" s="25">
        <f t="shared" si="50"/>
        <v>130970</v>
      </c>
    </row>
    <row r="95" spans="1:11" ht="24">
      <c r="A95" s="155" t="s">
        <v>177</v>
      </c>
      <c r="B95" s="128" t="s">
        <v>178</v>
      </c>
      <c r="C95" s="27">
        <f t="shared" ref="C95:K95" si="51">C222+C344</f>
        <v>0</v>
      </c>
      <c r="D95" s="27">
        <f t="shared" si="51"/>
        <v>0</v>
      </c>
      <c r="E95" s="27">
        <f t="shared" si="51"/>
        <v>0</v>
      </c>
      <c r="F95" s="27">
        <f t="shared" si="51"/>
        <v>0</v>
      </c>
      <c r="G95" s="27">
        <f t="shared" si="51"/>
        <v>0</v>
      </c>
      <c r="H95" s="27">
        <f t="shared" si="51"/>
        <v>0</v>
      </c>
      <c r="I95" s="27">
        <f t="shared" si="51"/>
        <v>0</v>
      </c>
      <c r="J95" s="27">
        <f t="shared" si="51"/>
        <v>0</v>
      </c>
      <c r="K95" s="29">
        <f t="shared" si="51"/>
        <v>0</v>
      </c>
    </row>
    <row r="96" spans="1:11" ht="24">
      <c r="A96" s="155" t="s">
        <v>179</v>
      </c>
      <c r="B96" s="128" t="s">
        <v>180</v>
      </c>
      <c r="C96" s="27">
        <f t="shared" ref="C96:K96" si="52">C223+C345</f>
        <v>14088073</v>
      </c>
      <c r="D96" s="27">
        <f t="shared" si="52"/>
        <v>14107776</v>
      </c>
      <c r="E96" s="27">
        <f t="shared" si="52"/>
        <v>14088073</v>
      </c>
      <c r="F96" s="27">
        <f t="shared" si="52"/>
        <v>14107776</v>
      </c>
      <c r="G96" s="27">
        <f t="shared" si="52"/>
        <v>8280184</v>
      </c>
      <c r="H96" s="27">
        <f t="shared" si="52"/>
        <v>8280184</v>
      </c>
      <c r="I96" s="27">
        <f t="shared" si="52"/>
        <v>8280184</v>
      </c>
      <c r="J96" s="27">
        <f t="shared" si="52"/>
        <v>0</v>
      </c>
      <c r="K96" s="29">
        <f t="shared" si="52"/>
        <v>130970</v>
      </c>
    </row>
    <row r="97" spans="1:11" ht="36">
      <c r="A97" s="156" t="s">
        <v>181</v>
      </c>
      <c r="B97" s="127" t="s">
        <v>182</v>
      </c>
      <c r="C97" s="24">
        <f>C98+C99</f>
        <v>4823000</v>
      </c>
      <c r="D97" s="24">
        <f>D98+D99</f>
        <v>12708000</v>
      </c>
      <c r="E97" s="24">
        <f t="shared" ref="E97:K97" si="53">E98+E99</f>
        <v>7623000</v>
      </c>
      <c r="F97" s="24">
        <f t="shared" si="53"/>
        <v>15338000</v>
      </c>
      <c r="G97" s="24">
        <f t="shared" si="53"/>
        <v>14346546</v>
      </c>
      <c r="H97" s="24">
        <f t="shared" si="53"/>
        <v>14346546</v>
      </c>
      <c r="I97" s="24">
        <f t="shared" si="53"/>
        <v>14346546</v>
      </c>
      <c r="J97" s="24">
        <f t="shared" si="53"/>
        <v>0</v>
      </c>
      <c r="K97" s="25">
        <f t="shared" si="53"/>
        <v>11717096</v>
      </c>
    </row>
    <row r="98" spans="1:11" ht="15">
      <c r="A98" s="155" t="s">
        <v>183</v>
      </c>
      <c r="B98" s="128" t="s">
        <v>184</v>
      </c>
      <c r="C98" s="27">
        <f t="shared" ref="C98:K98" si="54">C225+C347</f>
        <v>4823000</v>
      </c>
      <c r="D98" s="27">
        <f t="shared" si="54"/>
        <v>12708000</v>
      </c>
      <c r="E98" s="27">
        <f t="shared" si="54"/>
        <v>7623000</v>
      </c>
      <c r="F98" s="27">
        <f t="shared" si="54"/>
        <v>15338000</v>
      </c>
      <c r="G98" s="27">
        <f t="shared" si="54"/>
        <v>14346546</v>
      </c>
      <c r="H98" s="27">
        <f t="shared" si="54"/>
        <v>14346546</v>
      </c>
      <c r="I98" s="27">
        <f t="shared" si="54"/>
        <v>14346546</v>
      </c>
      <c r="J98" s="27">
        <f t="shared" si="54"/>
        <v>0</v>
      </c>
      <c r="K98" s="29">
        <f t="shared" si="54"/>
        <v>11717096</v>
      </c>
    </row>
    <row r="99" spans="1:11" ht="15">
      <c r="A99" s="155" t="s">
        <v>185</v>
      </c>
      <c r="B99" s="128" t="s">
        <v>186</v>
      </c>
      <c r="C99" s="27"/>
      <c r="D99" s="27"/>
      <c r="E99" s="27"/>
      <c r="F99" s="27"/>
      <c r="G99" s="27"/>
      <c r="H99" s="27"/>
      <c r="I99" s="27"/>
      <c r="J99" s="27"/>
      <c r="K99" s="29"/>
    </row>
    <row r="100" spans="1:11" ht="24">
      <c r="A100" s="155" t="s">
        <v>187</v>
      </c>
      <c r="B100" s="128" t="s">
        <v>188</v>
      </c>
      <c r="C100" s="27">
        <f t="shared" ref="C100:K100" si="55">C227+C349</f>
        <v>2312519</v>
      </c>
      <c r="D100" s="27">
        <f t="shared" si="55"/>
        <v>1157519</v>
      </c>
      <c r="E100" s="27">
        <f t="shared" si="55"/>
        <v>15924519</v>
      </c>
      <c r="F100" s="27">
        <f t="shared" si="55"/>
        <v>10869519</v>
      </c>
      <c r="G100" s="27">
        <f t="shared" si="55"/>
        <v>7989046</v>
      </c>
      <c r="H100" s="27">
        <f t="shared" si="55"/>
        <v>7989046</v>
      </c>
      <c r="I100" s="27">
        <f t="shared" si="55"/>
        <v>7989046</v>
      </c>
      <c r="J100" s="27">
        <f t="shared" si="55"/>
        <v>0</v>
      </c>
      <c r="K100" s="29">
        <f t="shared" si="55"/>
        <v>9542537</v>
      </c>
    </row>
    <row r="101" spans="1:11" ht="24">
      <c r="A101" s="155" t="s">
        <v>189</v>
      </c>
      <c r="B101" s="128" t="s">
        <v>190</v>
      </c>
      <c r="C101" s="27"/>
      <c r="D101" s="27"/>
      <c r="E101" s="27"/>
      <c r="F101" s="27"/>
      <c r="G101" s="27"/>
      <c r="H101" s="27"/>
      <c r="I101" s="27"/>
      <c r="J101" s="27"/>
      <c r="K101" s="29"/>
    </row>
    <row r="102" spans="1:11" ht="36">
      <c r="A102" s="155" t="s">
        <v>191</v>
      </c>
      <c r="B102" s="128" t="s">
        <v>192</v>
      </c>
      <c r="C102" s="27">
        <f t="shared" ref="C102:K102" si="56">C229+C351</f>
        <v>15228600</v>
      </c>
      <c r="D102" s="27">
        <f t="shared" si="56"/>
        <v>10699032</v>
      </c>
      <c r="E102" s="27">
        <f t="shared" si="56"/>
        <v>26081600</v>
      </c>
      <c r="F102" s="27">
        <f t="shared" si="56"/>
        <v>21864235</v>
      </c>
      <c r="G102" s="27">
        <f t="shared" si="56"/>
        <v>17351141</v>
      </c>
      <c r="H102" s="27">
        <f t="shared" si="56"/>
        <v>17351141</v>
      </c>
      <c r="I102" s="27">
        <f t="shared" si="56"/>
        <v>17351141</v>
      </c>
      <c r="J102" s="27">
        <f t="shared" si="56"/>
        <v>0</v>
      </c>
      <c r="K102" s="29">
        <f t="shared" si="56"/>
        <v>28402304</v>
      </c>
    </row>
    <row r="103" spans="1:11" ht="24">
      <c r="A103" s="153" t="s">
        <v>193</v>
      </c>
      <c r="B103" s="126" t="s">
        <v>194</v>
      </c>
      <c r="C103" s="21"/>
      <c r="D103" s="21"/>
      <c r="E103" s="21">
        <f t="shared" ref="E103:K103" si="57">E104+E105+E108</f>
        <v>9045000</v>
      </c>
      <c r="F103" s="21">
        <f t="shared" si="57"/>
        <v>5451285</v>
      </c>
      <c r="G103" s="21">
        <f t="shared" si="57"/>
        <v>5347773</v>
      </c>
      <c r="H103" s="21">
        <f t="shared" si="57"/>
        <v>5347773</v>
      </c>
      <c r="I103" s="21">
        <f t="shared" si="57"/>
        <v>5347773</v>
      </c>
      <c r="J103" s="21">
        <f t="shared" si="57"/>
        <v>0</v>
      </c>
      <c r="K103" s="22">
        <f t="shared" si="57"/>
        <v>5541488</v>
      </c>
    </row>
    <row r="104" spans="1:11" ht="15">
      <c r="A104" s="155" t="s">
        <v>195</v>
      </c>
      <c r="B104" s="129" t="s">
        <v>196</v>
      </c>
      <c r="C104" s="27"/>
      <c r="D104" s="27"/>
      <c r="E104" s="27">
        <f t="shared" ref="E104:K104" si="58">E231+E353</f>
        <v>0</v>
      </c>
      <c r="F104" s="27">
        <f t="shared" si="58"/>
        <v>0</v>
      </c>
      <c r="G104" s="27">
        <f t="shared" si="58"/>
        <v>0</v>
      </c>
      <c r="H104" s="27">
        <f t="shared" si="58"/>
        <v>0</v>
      </c>
      <c r="I104" s="27">
        <f t="shared" si="58"/>
        <v>0</v>
      </c>
      <c r="J104" s="27">
        <f t="shared" si="58"/>
        <v>0</v>
      </c>
      <c r="K104" s="27">
        <f t="shared" si="58"/>
        <v>0</v>
      </c>
    </row>
    <row r="105" spans="1:11" ht="36">
      <c r="A105" s="154" t="s">
        <v>197</v>
      </c>
      <c r="B105" s="127" t="s">
        <v>198</v>
      </c>
      <c r="C105" s="24"/>
      <c r="D105" s="24"/>
      <c r="E105" s="24">
        <f t="shared" ref="E105:K105" si="59">E106+E107</f>
        <v>9045000</v>
      </c>
      <c r="F105" s="24">
        <f t="shared" si="59"/>
        <v>5451285</v>
      </c>
      <c r="G105" s="24">
        <f t="shared" si="59"/>
        <v>5347773</v>
      </c>
      <c r="H105" s="24">
        <f t="shared" si="59"/>
        <v>5347773</v>
      </c>
      <c r="I105" s="24">
        <f t="shared" si="59"/>
        <v>5347773</v>
      </c>
      <c r="J105" s="24">
        <f t="shared" si="59"/>
        <v>0</v>
      </c>
      <c r="K105" s="25">
        <f t="shared" si="59"/>
        <v>5541488</v>
      </c>
    </row>
    <row r="106" spans="1:11" ht="15">
      <c r="A106" s="155" t="s">
        <v>199</v>
      </c>
      <c r="B106" s="128" t="s">
        <v>200</v>
      </c>
      <c r="C106" s="27"/>
      <c r="D106" s="27"/>
      <c r="E106" s="27">
        <f t="shared" ref="E106:K106" si="60">E233+E355</f>
        <v>9045000</v>
      </c>
      <c r="F106" s="27">
        <f t="shared" si="60"/>
        <v>5451285</v>
      </c>
      <c r="G106" s="27">
        <f t="shared" si="60"/>
        <v>5347773</v>
      </c>
      <c r="H106" s="27">
        <f t="shared" si="60"/>
        <v>5347773</v>
      </c>
      <c r="I106" s="27">
        <f t="shared" si="60"/>
        <v>5347773</v>
      </c>
      <c r="J106" s="27">
        <f t="shared" si="60"/>
        <v>0</v>
      </c>
      <c r="K106" s="29">
        <f t="shared" si="60"/>
        <v>5541488</v>
      </c>
    </row>
    <row r="107" spans="1:11" ht="24">
      <c r="A107" s="155" t="s">
        <v>201</v>
      </c>
      <c r="B107" s="128" t="s">
        <v>202</v>
      </c>
      <c r="C107" s="27"/>
      <c r="D107" s="27"/>
      <c r="E107" s="27"/>
      <c r="F107" s="27"/>
      <c r="G107" s="27"/>
      <c r="H107" s="27"/>
      <c r="I107" s="27"/>
      <c r="J107" s="27"/>
      <c r="K107" s="29"/>
    </row>
    <row r="108" spans="1:11" ht="24">
      <c r="A108" s="155" t="s">
        <v>203</v>
      </c>
      <c r="B108" s="128" t="s">
        <v>204</v>
      </c>
      <c r="C108" s="27"/>
      <c r="D108" s="27"/>
      <c r="E108" s="27"/>
      <c r="F108" s="27"/>
      <c r="G108" s="27"/>
      <c r="H108" s="27"/>
      <c r="I108" s="27"/>
      <c r="J108" s="27"/>
      <c r="K108" s="29"/>
    </row>
    <row r="109" spans="1:11" ht="48">
      <c r="A109" s="152" t="s">
        <v>205</v>
      </c>
      <c r="B109" s="167" t="s">
        <v>206</v>
      </c>
      <c r="C109" s="46">
        <f>C110+C116+C120+C125+C133</f>
        <v>150395865</v>
      </c>
      <c r="D109" s="48">
        <f>D110+D116+D120+D125+D133</f>
        <v>81610242</v>
      </c>
      <c r="E109" s="18">
        <f t="shared" ref="E109:K109" si="61">E110+E116+E120+E125+E133</f>
        <v>199970865</v>
      </c>
      <c r="F109" s="18">
        <f t="shared" si="61"/>
        <v>138629698</v>
      </c>
      <c r="G109" s="18">
        <f t="shared" si="61"/>
        <v>130425835</v>
      </c>
      <c r="H109" s="18">
        <f t="shared" si="61"/>
        <v>130425835</v>
      </c>
      <c r="I109" s="18">
        <f t="shared" si="61"/>
        <v>130425835</v>
      </c>
      <c r="J109" s="46">
        <f t="shared" si="61"/>
        <v>0</v>
      </c>
      <c r="K109" s="19">
        <f t="shared" si="61"/>
        <v>70641473</v>
      </c>
    </row>
    <row r="110" spans="1:11" ht="36" hidden="1">
      <c r="A110" s="153" t="s">
        <v>207</v>
      </c>
      <c r="B110" s="126" t="s">
        <v>208</v>
      </c>
      <c r="C110" s="21">
        <f>C111</f>
        <v>0</v>
      </c>
      <c r="D110" s="21">
        <f>D111</f>
        <v>0</v>
      </c>
      <c r="E110" s="21">
        <f t="shared" ref="E110:K110" si="62">E111</f>
        <v>0</v>
      </c>
      <c r="F110" s="21">
        <f t="shared" si="62"/>
        <v>0</v>
      </c>
      <c r="G110" s="21">
        <f t="shared" si="62"/>
        <v>0</v>
      </c>
      <c r="H110" s="21">
        <f t="shared" si="62"/>
        <v>0</v>
      </c>
      <c r="I110" s="21">
        <f t="shared" si="62"/>
        <v>0</v>
      </c>
      <c r="J110" s="21">
        <f t="shared" si="62"/>
        <v>0</v>
      </c>
      <c r="K110" s="22">
        <f t="shared" si="62"/>
        <v>0</v>
      </c>
    </row>
    <row r="111" spans="1:11" ht="48" hidden="1">
      <c r="A111" s="156" t="s">
        <v>209</v>
      </c>
      <c r="B111" s="127" t="s">
        <v>210</v>
      </c>
      <c r="C111" s="24">
        <f>C112+C113+C114+C115</f>
        <v>0</v>
      </c>
      <c r="D111" s="24">
        <f>D112+D113+D114+D115</f>
        <v>0</v>
      </c>
      <c r="E111" s="24">
        <f t="shared" ref="E111:K111" si="63">E112+E113+E114+E115</f>
        <v>0</v>
      </c>
      <c r="F111" s="24">
        <f t="shared" si="63"/>
        <v>0</v>
      </c>
      <c r="G111" s="24">
        <f t="shared" si="63"/>
        <v>0</v>
      </c>
      <c r="H111" s="24">
        <f t="shared" si="63"/>
        <v>0</v>
      </c>
      <c r="I111" s="24">
        <f t="shared" si="63"/>
        <v>0</v>
      </c>
      <c r="J111" s="24">
        <f t="shared" si="63"/>
        <v>0</v>
      </c>
      <c r="K111" s="25">
        <f t="shared" si="63"/>
        <v>0</v>
      </c>
    </row>
    <row r="112" spans="1:11" ht="24" hidden="1">
      <c r="A112" s="155" t="s">
        <v>211</v>
      </c>
      <c r="B112" s="128" t="s">
        <v>212</v>
      </c>
      <c r="C112" s="27">
        <f t="shared" ref="C112:K112" si="64">C239+C361</f>
        <v>0</v>
      </c>
      <c r="D112" s="27">
        <f t="shared" si="64"/>
        <v>0</v>
      </c>
      <c r="E112" s="27">
        <f t="shared" si="64"/>
        <v>0</v>
      </c>
      <c r="F112" s="27">
        <f t="shared" si="64"/>
        <v>0</v>
      </c>
      <c r="G112" s="27">
        <f t="shared" si="64"/>
        <v>0</v>
      </c>
      <c r="H112" s="27">
        <f t="shared" si="64"/>
        <v>0</v>
      </c>
      <c r="I112" s="27">
        <f t="shared" si="64"/>
        <v>0</v>
      </c>
      <c r="J112" s="27">
        <f t="shared" si="64"/>
        <v>0</v>
      </c>
      <c r="K112" s="29">
        <f t="shared" si="64"/>
        <v>0</v>
      </c>
    </row>
    <row r="113" spans="1:11" ht="24" hidden="1">
      <c r="A113" s="155" t="s">
        <v>213</v>
      </c>
      <c r="B113" s="128" t="s">
        <v>214</v>
      </c>
      <c r="C113" s="27">
        <f t="shared" ref="C113:K113" si="65">C240+C362</f>
        <v>0</v>
      </c>
      <c r="D113" s="27">
        <f t="shared" si="65"/>
        <v>0</v>
      </c>
      <c r="E113" s="27">
        <f t="shared" si="65"/>
        <v>0</v>
      </c>
      <c r="F113" s="27">
        <f t="shared" si="65"/>
        <v>0</v>
      </c>
      <c r="G113" s="27">
        <f t="shared" si="65"/>
        <v>0</v>
      </c>
      <c r="H113" s="27">
        <f t="shared" si="65"/>
        <v>0</v>
      </c>
      <c r="I113" s="27">
        <f t="shared" si="65"/>
        <v>0</v>
      </c>
      <c r="J113" s="27">
        <f t="shared" si="65"/>
        <v>0</v>
      </c>
      <c r="K113" s="29">
        <f t="shared" si="65"/>
        <v>0</v>
      </c>
    </row>
    <row r="114" spans="1:11" ht="24" hidden="1">
      <c r="A114" s="155" t="s">
        <v>215</v>
      </c>
      <c r="B114" s="128" t="s">
        <v>216</v>
      </c>
      <c r="C114" s="27">
        <f t="shared" ref="C114:K114" si="66">C241+C363</f>
        <v>0</v>
      </c>
      <c r="D114" s="27">
        <f t="shared" si="66"/>
        <v>0</v>
      </c>
      <c r="E114" s="27">
        <f t="shared" si="66"/>
        <v>0</v>
      </c>
      <c r="F114" s="27">
        <f t="shared" si="66"/>
        <v>0</v>
      </c>
      <c r="G114" s="27">
        <f t="shared" si="66"/>
        <v>0</v>
      </c>
      <c r="H114" s="27">
        <f t="shared" si="66"/>
        <v>0</v>
      </c>
      <c r="I114" s="27">
        <f t="shared" si="66"/>
        <v>0</v>
      </c>
      <c r="J114" s="27">
        <f t="shared" si="66"/>
        <v>0</v>
      </c>
      <c r="K114" s="29">
        <f t="shared" si="66"/>
        <v>0</v>
      </c>
    </row>
    <row r="115" spans="1:11" ht="24" hidden="1">
      <c r="A115" s="155" t="s">
        <v>217</v>
      </c>
      <c r="B115" s="128" t="s">
        <v>218</v>
      </c>
      <c r="C115" s="27">
        <f t="shared" ref="C115:K115" si="67">C242+C364</f>
        <v>0</v>
      </c>
      <c r="D115" s="27">
        <f t="shared" si="67"/>
        <v>0</v>
      </c>
      <c r="E115" s="27">
        <f t="shared" si="67"/>
        <v>0</v>
      </c>
      <c r="F115" s="27">
        <f t="shared" si="67"/>
        <v>0</v>
      </c>
      <c r="G115" s="27">
        <f t="shared" si="67"/>
        <v>0</v>
      </c>
      <c r="H115" s="27">
        <f t="shared" si="67"/>
        <v>0</v>
      </c>
      <c r="I115" s="27">
        <f t="shared" si="67"/>
        <v>0</v>
      </c>
      <c r="J115" s="27">
        <f t="shared" si="67"/>
        <v>0</v>
      </c>
      <c r="K115" s="29">
        <f t="shared" si="67"/>
        <v>0</v>
      </c>
    </row>
    <row r="116" spans="1:11" ht="36" hidden="1">
      <c r="A116" s="153" t="s">
        <v>219</v>
      </c>
      <c r="B116" s="126" t="s">
        <v>220</v>
      </c>
      <c r="C116" s="21">
        <f>C117+C118+C119</f>
        <v>0</v>
      </c>
      <c r="D116" s="21">
        <f>D117+D118+D119</f>
        <v>0</v>
      </c>
      <c r="E116" s="21">
        <f t="shared" ref="E116:K116" si="68">E117+E118+E119</f>
        <v>0</v>
      </c>
      <c r="F116" s="21">
        <f t="shared" si="68"/>
        <v>0</v>
      </c>
      <c r="G116" s="21">
        <f t="shared" si="68"/>
        <v>0</v>
      </c>
      <c r="H116" s="21">
        <f t="shared" si="68"/>
        <v>0</v>
      </c>
      <c r="I116" s="21">
        <f t="shared" si="68"/>
        <v>0</v>
      </c>
      <c r="J116" s="21">
        <f t="shared" si="68"/>
        <v>0</v>
      </c>
      <c r="K116" s="22">
        <f t="shared" si="68"/>
        <v>0</v>
      </c>
    </row>
    <row r="117" spans="1:11" ht="15" hidden="1">
      <c r="A117" s="155" t="s">
        <v>221</v>
      </c>
      <c r="B117" s="129" t="s">
        <v>222</v>
      </c>
      <c r="C117" s="27">
        <f t="shared" ref="C117:K117" si="69">C244+C366</f>
        <v>0</v>
      </c>
      <c r="D117" s="27">
        <f t="shared" si="69"/>
        <v>0</v>
      </c>
      <c r="E117" s="27">
        <f t="shared" si="69"/>
        <v>0</v>
      </c>
      <c r="F117" s="27">
        <f t="shared" si="69"/>
        <v>0</v>
      </c>
      <c r="G117" s="27">
        <f t="shared" si="69"/>
        <v>0</v>
      </c>
      <c r="H117" s="27">
        <f t="shared" si="69"/>
        <v>0</v>
      </c>
      <c r="I117" s="27">
        <f t="shared" si="69"/>
        <v>0</v>
      </c>
      <c r="J117" s="27">
        <f t="shared" si="69"/>
        <v>0</v>
      </c>
      <c r="K117" s="29">
        <f t="shared" si="69"/>
        <v>0</v>
      </c>
    </row>
    <row r="118" spans="1:11" ht="15" hidden="1">
      <c r="A118" s="155" t="s">
        <v>223</v>
      </c>
      <c r="B118" s="128" t="s">
        <v>224</v>
      </c>
      <c r="C118" s="27">
        <f t="shared" ref="C118:K118" si="70">C245+C367</f>
        <v>0</v>
      </c>
      <c r="D118" s="27">
        <f t="shared" si="70"/>
        <v>0</v>
      </c>
      <c r="E118" s="27">
        <f t="shared" si="70"/>
        <v>0</v>
      </c>
      <c r="F118" s="27">
        <f t="shared" si="70"/>
        <v>0</v>
      </c>
      <c r="G118" s="27">
        <f t="shared" si="70"/>
        <v>0</v>
      </c>
      <c r="H118" s="27">
        <f t="shared" si="70"/>
        <v>0</v>
      </c>
      <c r="I118" s="27">
        <f t="shared" si="70"/>
        <v>0</v>
      </c>
      <c r="J118" s="27">
        <f t="shared" si="70"/>
        <v>0</v>
      </c>
      <c r="K118" s="29">
        <f t="shared" si="70"/>
        <v>0</v>
      </c>
    </row>
    <row r="119" spans="1:11" ht="24" hidden="1">
      <c r="A119" s="155" t="s">
        <v>225</v>
      </c>
      <c r="B119" s="128" t="s">
        <v>226</v>
      </c>
      <c r="C119" s="27">
        <f t="shared" ref="C119:K119" si="71">C246+C368</f>
        <v>0</v>
      </c>
      <c r="D119" s="27">
        <f t="shared" si="71"/>
        <v>0</v>
      </c>
      <c r="E119" s="27">
        <f t="shared" si="71"/>
        <v>0</v>
      </c>
      <c r="F119" s="27">
        <f t="shared" si="71"/>
        <v>0</v>
      </c>
      <c r="G119" s="27">
        <f t="shared" si="71"/>
        <v>0</v>
      </c>
      <c r="H119" s="27">
        <f t="shared" si="71"/>
        <v>0</v>
      </c>
      <c r="I119" s="27">
        <f t="shared" si="71"/>
        <v>0</v>
      </c>
      <c r="J119" s="27">
        <f t="shared" si="71"/>
        <v>0</v>
      </c>
      <c r="K119" s="29">
        <f t="shared" si="71"/>
        <v>0</v>
      </c>
    </row>
    <row r="120" spans="1:11" ht="36">
      <c r="A120" s="153" t="s">
        <v>227</v>
      </c>
      <c r="B120" s="126" t="s">
        <v>228</v>
      </c>
      <c r="C120" s="21"/>
      <c r="D120" s="21"/>
      <c r="E120" s="21">
        <f t="shared" ref="E120:K120" si="72">E121</f>
        <v>1050000</v>
      </c>
      <c r="F120" s="21">
        <f t="shared" si="72"/>
        <v>1285600</v>
      </c>
      <c r="G120" s="21">
        <f t="shared" si="72"/>
        <v>1196528</v>
      </c>
      <c r="H120" s="21">
        <f t="shared" si="72"/>
        <v>1196528</v>
      </c>
      <c r="I120" s="21">
        <f t="shared" si="72"/>
        <v>1196528</v>
      </c>
      <c r="J120" s="21">
        <f t="shared" si="72"/>
        <v>0</v>
      </c>
      <c r="K120" s="22">
        <f t="shared" si="72"/>
        <v>1196528</v>
      </c>
    </row>
    <row r="121" spans="1:11" ht="36">
      <c r="A121" s="156" t="s">
        <v>229</v>
      </c>
      <c r="B121" s="127" t="s">
        <v>230</v>
      </c>
      <c r="C121" s="24"/>
      <c r="D121" s="24"/>
      <c r="E121" s="24">
        <f t="shared" ref="E121:K121" si="73">E122+E123+E124</f>
        <v>1050000</v>
      </c>
      <c r="F121" s="24">
        <f t="shared" si="73"/>
        <v>1285600</v>
      </c>
      <c r="G121" s="24">
        <f t="shared" si="73"/>
        <v>1196528</v>
      </c>
      <c r="H121" s="24">
        <f t="shared" si="73"/>
        <v>1196528</v>
      </c>
      <c r="I121" s="24">
        <f t="shared" si="73"/>
        <v>1196528</v>
      </c>
      <c r="J121" s="24">
        <f t="shared" si="73"/>
        <v>0</v>
      </c>
      <c r="K121" s="25">
        <f t="shared" si="73"/>
        <v>1196528</v>
      </c>
    </row>
    <row r="122" spans="1:11" ht="24">
      <c r="A122" s="155" t="s">
        <v>231</v>
      </c>
      <c r="B122" s="129" t="s">
        <v>232</v>
      </c>
      <c r="C122" s="27"/>
      <c r="D122" s="27"/>
      <c r="E122" s="27"/>
      <c r="F122" s="27"/>
      <c r="G122" s="27"/>
      <c r="H122" s="27"/>
      <c r="I122" s="27"/>
      <c r="J122" s="27"/>
      <c r="K122" s="29"/>
    </row>
    <row r="123" spans="1:11" ht="15">
      <c r="A123" s="155" t="s">
        <v>233</v>
      </c>
      <c r="B123" s="129" t="s">
        <v>234</v>
      </c>
      <c r="C123" s="27"/>
      <c r="D123" s="27"/>
      <c r="E123" s="27"/>
      <c r="F123" s="27"/>
      <c r="G123" s="27"/>
      <c r="H123" s="27"/>
      <c r="I123" s="27"/>
      <c r="J123" s="27"/>
      <c r="K123" s="29"/>
    </row>
    <row r="124" spans="1:11" ht="24">
      <c r="A124" s="155" t="s">
        <v>235</v>
      </c>
      <c r="B124" s="128" t="s">
        <v>236</v>
      </c>
      <c r="C124" s="27"/>
      <c r="D124" s="27"/>
      <c r="E124" s="27">
        <f t="shared" ref="E124:K124" si="74">E251+E373</f>
        <v>1050000</v>
      </c>
      <c r="F124" s="27">
        <f t="shared" si="74"/>
        <v>1285600</v>
      </c>
      <c r="G124" s="27">
        <f t="shared" si="74"/>
        <v>1196528</v>
      </c>
      <c r="H124" s="27">
        <f t="shared" si="74"/>
        <v>1196528</v>
      </c>
      <c r="I124" s="27">
        <f t="shared" si="74"/>
        <v>1196528</v>
      </c>
      <c r="J124" s="27">
        <f t="shared" si="74"/>
        <v>0</v>
      </c>
      <c r="K124" s="29">
        <f t="shared" si="74"/>
        <v>1196528</v>
      </c>
    </row>
    <row r="125" spans="1:11" ht="24">
      <c r="A125" s="153" t="s">
        <v>237</v>
      </c>
      <c r="B125" s="126" t="s">
        <v>238</v>
      </c>
      <c r="C125" s="21">
        <f>C126+C130+C132</f>
        <v>150395865</v>
      </c>
      <c r="D125" s="21">
        <f>D126+D130+D132</f>
        <v>81610242</v>
      </c>
      <c r="E125" s="21">
        <f t="shared" ref="E125:K125" si="75">E126+E130+E132</f>
        <v>198920865</v>
      </c>
      <c r="F125" s="21">
        <f t="shared" si="75"/>
        <v>137344098</v>
      </c>
      <c r="G125" s="21">
        <f t="shared" si="75"/>
        <v>129229307</v>
      </c>
      <c r="H125" s="21">
        <f t="shared" si="75"/>
        <v>129229307</v>
      </c>
      <c r="I125" s="21">
        <f t="shared" si="75"/>
        <v>129229307</v>
      </c>
      <c r="J125" s="21">
        <f t="shared" si="75"/>
        <v>0</v>
      </c>
      <c r="K125" s="183">
        <f t="shared" si="75"/>
        <v>69444945</v>
      </c>
    </row>
    <row r="126" spans="1:11" ht="24">
      <c r="A126" s="156" t="s">
        <v>239</v>
      </c>
      <c r="B126" s="127" t="s">
        <v>240</v>
      </c>
      <c r="C126" s="24">
        <f>C127+C128+C129</f>
        <v>136839365</v>
      </c>
      <c r="D126" s="24">
        <f>D127+D128+D129</f>
        <v>70618000</v>
      </c>
      <c r="E126" s="24">
        <f t="shared" ref="E126:K126" si="76">E127+E128+E129</f>
        <v>185364365</v>
      </c>
      <c r="F126" s="24">
        <f t="shared" si="76"/>
        <v>126351856</v>
      </c>
      <c r="G126" s="24">
        <f t="shared" si="76"/>
        <v>120624100</v>
      </c>
      <c r="H126" s="24">
        <f t="shared" si="76"/>
        <v>120624100</v>
      </c>
      <c r="I126" s="24">
        <f t="shared" si="76"/>
        <v>120624100</v>
      </c>
      <c r="J126" s="24">
        <f t="shared" si="76"/>
        <v>0</v>
      </c>
      <c r="K126" s="184">
        <f t="shared" si="76"/>
        <v>65333117</v>
      </c>
    </row>
    <row r="127" spans="1:11" ht="15">
      <c r="A127" s="155" t="s">
        <v>241</v>
      </c>
      <c r="B127" s="128" t="s">
        <v>242</v>
      </c>
      <c r="C127" s="27">
        <f t="shared" ref="C127:K127" si="77">C254+C376</f>
        <v>113347000</v>
      </c>
      <c r="D127" s="27">
        <f t="shared" si="77"/>
        <v>56101000</v>
      </c>
      <c r="E127" s="27">
        <f t="shared" si="77"/>
        <v>113347000</v>
      </c>
      <c r="F127" s="27">
        <f t="shared" si="77"/>
        <v>56101000</v>
      </c>
      <c r="G127" s="27">
        <f t="shared" si="77"/>
        <v>45192550</v>
      </c>
      <c r="H127" s="27">
        <f t="shared" si="77"/>
        <v>45192550</v>
      </c>
      <c r="I127" s="27">
        <f t="shared" si="77"/>
        <v>45192550</v>
      </c>
      <c r="J127" s="27">
        <f t="shared" si="77"/>
        <v>0</v>
      </c>
      <c r="K127" s="185">
        <f t="shared" si="77"/>
        <v>0</v>
      </c>
    </row>
    <row r="128" spans="1:11" ht="15">
      <c r="A128" s="155" t="s">
        <v>243</v>
      </c>
      <c r="B128" s="128" t="s">
        <v>244</v>
      </c>
      <c r="C128" s="27">
        <f t="shared" ref="C128:K128" si="78">C255+C377</f>
        <v>14956365</v>
      </c>
      <c r="D128" s="27">
        <f t="shared" si="78"/>
        <v>9035000</v>
      </c>
      <c r="E128" s="27">
        <f t="shared" si="78"/>
        <v>35781365</v>
      </c>
      <c r="F128" s="27">
        <f t="shared" si="78"/>
        <v>25117114</v>
      </c>
      <c r="G128" s="27">
        <f t="shared" si="78"/>
        <v>31601805</v>
      </c>
      <c r="H128" s="27">
        <f t="shared" si="78"/>
        <v>31601805</v>
      </c>
      <c r="I128" s="27">
        <f t="shared" si="78"/>
        <v>31601805</v>
      </c>
      <c r="J128" s="27">
        <f t="shared" si="78"/>
        <v>0</v>
      </c>
      <c r="K128" s="185">
        <f t="shared" si="78"/>
        <v>29441047</v>
      </c>
    </row>
    <row r="129" spans="1:11" ht="15">
      <c r="A129" s="155" t="s">
        <v>245</v>
      </c>
      <c r="B129" s="128" t="s">
        <v>246</v>
      </c>
      <c r="C129" s="27">
        <f t="shared" ref="C129:K129" si="79">C256+C378</f>
        <v>8536000</v>
      </c>
      <c r="D129" s="27">
        <f t="shared" si="79"/>
        <v>5482000</v>
      </c>
      <c r="E129" s="27">
        <f t="shared" si="79"/>
        <v>36236000</v>
      </c>
      <c r="F129" s="27">
        <f t="shared" si="79"/>
        <v>45133742</v>
      </c>
      <c r="G129" s="27">
        <f t="shared" si="79"/>
        <v>43829745</v>
      </c>
      <c r="H129" s="27">
        <f t="shared" si="79"/>
        <v>43829745</v>
      </c>
      <c r="I129" s="27">
        <f t="shared" si="79"/>
        <v>43829745</v>
      </c>
      <c r="J129" s="27">
        <f t="shared" si="79"/>
        <v>0</v>
      </c>
      <c r="K129" s="185">
        <f t="shared" si="79"/>
        <v>35892070</v>
      </c>
    </row>
    <row r="130" spans="1:11" ht="24">
      <c r="A130" s="156" t="s">
        <v>247</v>
      </c>
      <c r="B130" s="127" t="s">
        <v>248</v>
      </c>
      <c r="C130" s="24"/>
      <c r="D130" s="24"/>
      <c r="E130" s="24"/>
      <c r="F130" s="24"/>
      <c r="G130" s="24"/>
      <c r="H130" s="24"/>
      <c r="I130" s="24"/>
      <c r="J130" s="24"/>
      <c r="K130" s="25"/>
    </row>
    <row r="131" spans="1:11" ht="15">
      <c r="A131" s="155" t="s">
        <v>249</v>
      </c>
      <c r="B131" s="128" t="s">
        <v>250</v>
      </c>
      <c r="C131" s="27"/>
      <c r="D131" s="27"/>
      <c r="E131" s="27"/>
      <c r="F131" s="27"/>
      <c r="G131" s="27"/>
      <c r="H131" s="27"/>
      <c r="I131" s="27"/>
      <c r="J131" s="27"/>
      <c r="K131" s="29"/>
    </row>
    <row r="132" spans="1:11" ht="24">
      <c r="A132" s="155" t="s">
        <v>251</v>
      </c>
      <c r="B132" s="128" t="s">
        <v>252</v>
      </c>
      <c r="C132" s="27">
        <f t="shared" ref="C132:K132" si="80">C259+C381</f>
        <v>13556500</v>
      </c>
      <c r="D132" s="27">
        <f t="shared" si="80"/>
        <v>10992242</v>
      </c>
      <c r="E132" s="27">
        <f t="shared" si="80"/>
        <v>13556500</v>
      </c>
      <c r="F132" s="27">
        <f t="shared" si="80"/>
        <v>10992242</v>
      </c>
      <c r="G132" s="27">
        <f t="shared" si="80"/>
        <v>8605207</v>
      </c>
      <c r="H132" s="27">
        <f t="shared" si="80"/>
        <v>8605207</v>
      </c>
      <c r="I132" s="27">
        <f t="shared" si="80"/>
        <v>8605207</v>
      </c>
      <c r="J132" s="27">
        <f t="shared" si="80"/>
        <v>0</v>
      </c>
      <c r="K132" s="29">
        <f t="shared" si="80"/>
        <v>4111828</v>
      </c>
    </row>
    <row r="133" spans="1:11" ht="18" hidden="1" customHeight="1">
      <c r="A133" s="153" t="s">
        <v>253</v>
      </c>
      <c r="B133" s="126" t="s">
        <v>254</v>
      </c>
      <c r="C133" s="20"/>
      <c r="D133" s="21">
        <f>D134+D135+D136+D137+D138</f>
        <v>0</v>
      </c>
      <c r="E133" s="21">
        <f t="shared" ref="E133:K133" si="81">E134+E135+E136+E137+E138</f>
        <v>0</v>
      </c>
      <c r="F133" s="21">
        <f t="shared" si="81"/>
        <v>0</v>
      </c>
      <c r="G133" s="21">
        <f t="shared" si="81"/>
        <v>0</v>
      </c>
      <c r="H133" s="21">
        <f t="shared" si="81"/>
        <v>0</v>
      </c>
      <c r="I133" s="21">
        <f t="shared" si="81"/>
        <v>0</v>
      </c>
      <c r="J133" s="21">
        <f t="shared" si="81"/>
        <v>0</v>
      </c>
      <c r="K133" s="22">
        <f t="shared" si="81"/>
        <v>0</v>
      </c>
    </row>
    <row r="134" spans="1:11" ht="24" hidden="1">
      <c r="A134" s="155" t="s">
        <v>255</v>
      </c>
      <c r="B134" s="128" t="s">
        <v>256</v>
      </c>
      <c r="C134" s="26"/>
      <c r="D134" s="27">
        <f t="shared" ref="D134:I138" si="82">D261+D383</f>
        <v>0</v>
      </c>
      <c r="E134" s="27">
        <f t="shared" si="82"/>
        <v>0</v>
      </c>
      <c r="F134" s="27">
        <f t="shared" si="82"/>
        <v>0</v>
      </c>
      <c r="G134" s="27">
        <f t="shared" si="82"/>
        <v>0</v>
      </c>
      <c r="H134" s="27">
        <f t="shared" si="82"/>
        <v>0</v>
      </c>
      <c r="I134" s="27">
        <f t="shared" si="82"/>
        <v>0</v>
      </c>
      <c r="J134" s="27"/>
      <c r="K134" s="29">
        <f>K261+K383</f>
        <v>0</v>
      </c>
    </row>
    <row r="135" spans="1:11" ht="15" hidden="1">
      <c r="A135" s="155" t="s">
        <v>257</v>
      </c>
      <c r="B135" s="128" t="s">
        <v>258</v>
      </c>
      <c r="C135" s="26"/>
      <c r="D135" s="27">
        <f t="shared" si="82"/>
        <v>0</v>
      </c>
      <c r="E135" s="27">
        <f t="shared" si="82"/>
        <v>0</v>
      </c>
      <c r="F135" s="27">
        <f t="shared" si="82"/>
        <v>0</v>
      </c>
      <c r="G135" s="27">
        <f t="shared" si="82"/>
        <v>0</v>
      </c>
      <c r="H135" s="27">
        <f t="shared" si="82"/>
        <v>0</v>
      </c>
      <c r="I135" s="27">
        <f t="shared" si="82"/>
        <v>0</v>
      </c>
      <c r="J135" s="27"/>
      <c r="K135" s="29">
        <f>K262+K384</f>
        <v>0</v>
      </c>
    </row>
    <row r="136" spans="1:11" ht="15" hidden="1">
      <c r="A136" s="155" t="s">
        <v>259</v>
      </c>
      <c r="B136" s="128" t="s">
        <v>260</v>
      </c>
      <c r="C136" s="26"/>
      <c r="D136" s="27">
        <f t="shared" si="82"/>
        <v>0</v>
      </c>
      <c r="E136" s="27">
        <f t="shared" si="82"/>
        <v>0</v>
      </c>
      <c r="F136" s="27">
        <f t="shared" si="82"/>
        <v>0</v>
      </c>
      <c r="G136" s="27">
        <f t="shared" si="82"/>
        <v>0</v>
      </c>
      <c r="H136" s="27">
        <f t="shared" si="82"/>
        <v>0</v>
      </c>
      <c r="I136" s="27">
        <f t="shared" si="82"/>
        <v>0</v>
      </c>
      <c r="J136" s="27"/>
      <c r="K136" s="29">
        <f>K263+K385</f>
        <v>0</v>
      </c>
    </row>
    <row r="137" spans="1:11" ht="24" hidden="1">
      <c r="A137" s="155" t="s">
        <v>261</v>
      </c>
      <c r="B137" s="128" t="s">
        <v>262</v>
      </c>
      <c r="C137" s="26"/>
      <c r="D137" s="27">
        <f t="shared" si="82"/>
        <v>0</v>
      </c>
      <c r="E137" s="27">
        <f t="shared" si="82"/>
        <v>0</v>
      </c>
      <c r="F137" s="27">
        <f t="shared" si="82"/>
        <v>0</v>
      </c>
      <c r="G137" s="27">
        <f t="shared" si="82"/>
        <v>0</v>
      </c>
      <c r="H137" s="27">
        <f t="shared" si="82"/>
        <v>0</v>
      </c>
      <c r="I137" s="27">
        <f t="shared" si="82"/>
        <v>0</v>
      </c>
      <c r="J137" s="27"/>
      <c r="K137" s="29">
        <f>K264+K386</f>
        <v>0</v>
      </c>
    </row>
    <row r="138" spans="1:11" ht="15" hidden="1">
      <c r="A138" s="155" t="s">
        <v>263</v>
      </c>
      <c r="B138" s="128" t="s">
        <v>264</v>
      </c>
      <c r="C138" s="26"/>
      <c r="D138" s="27">
        <f t="shared" si="82"/>
        <v>0</v>
      </c>
      <c r="E138" s="27">
        <f t="shared" si="82"/>
        <v>0</v>
      </c>
      <c r="F138" s="27">
        <f t="shared" si="82"/>
        <v>0</v>
      </c>
      <c r="G138" s="27">
        <f t="shared" si="82"/>
        <v>0</v>
      </c>
      <c r="H138" s="27">
        <f t="shared" si="82"/>
        <v>0</v>
      </c>
      <c r="I138" s="27">
        <f t="shared" si="82"/>
        <v>0</v>
      </c>
      <c r="J138" s="27"/>
      <c r="K138" s="29">
        <f>K265+K387</f>
        <v>0</v>
      </c>
    </row>
    <row r="139" spans="1:11" ht="24" hidden="1">
      <c r="A139" s="152" t="s">
        <v>265</v>
      </c>
      <c r="B139" s="167" t="s">
        <v>266</v>
      </c>
      <c r="C139" s="17"/>
      <c r="D139" s="49"/>
      <c r="E139" s="50"/>
      <c r="F139" s="51"/>
      <c r="G139" s="52"/>
      <c r="H139" s="53"/>
      <c r="I139" s="52"/>
      <c r="J139" s="54"/>
      <c r="K139" s="55"/>
    </row>
    <row r="140" spans="1:11" ht="15" hidden="1">
      <c r="A140" s="159" t="s">
        <v>267</v>
      </c>
      <c r="B140" s="170" t="s">
        <v>268</v>
      </c>
      <c r="C140" s="56"/>
      <c r="D140" s="57"/>
      <c r="E140" s="58"/>
      <c r="F140" s="59"/>
      <c r="G140" s="36"/>
      <c r="H140" s="60"/>
      <c r="I140" s="35"/>
      <c r="J140" s="36"/>
      <c r="K140" s="37"/>
    </row>
    <row r="141" spans="1:11" ht="15" hidden="1">
      <c r="A141" s="160" t="s">
        <v>327</v>
      </c>
      <c r="B141" s="170" t="s">
        <v>269</v>
      </c>
      <c r="C141" s="56"/>
      <c r="D141" s="57"/>
      <c r="E141" s="58"/>
      <c r="F141" s="59"/>
      <c r="G141" s="36"/>
      <c r="H141" s="60"/>
      <c r="I141" s="35"/>
      <c r="J141" s="36"/>
      <c r="K141" s="58"/>
    </row>
    <row r="142" spans="1:11" ht="40.5" customHeight="1" thickBot="1">
      <c r="A142" s="186" t="s">
        <v>330</v>
      </c>
      <c r="B142" s="171" t="s">
        <v>15</v>
      </c>
      <c r="C142" s="61"/>
      <c r="D142" s="62"/>
      <c r="E142" s="62">
        <f t="shared" ref="E142:K142" si="83">E143+E158+E166+E219+E236+E266</f>
        <v>253888000</v>
      </c>
      <c r="F142" s="62">
        <f t="shared" si="83"/>
        <v>267209724</v>
      </c>
      <c r="G142" s="62">
        <f t="shared" si="83"/>
        <v>266578277</v>
      </c>
      <c r="H142" s="63">
        <f t="shared" si="83"/>
        <v>266578277</v>
      </c>
      <c r="I142" s="62">
        <f t="shared" si="83"/>
        <v>266578277</v>
      </c>
      <c r="J142" s="64">
        <f t="shared" si="83"/>
        <v>0</v>
      </c>
      <c r="K142" s="65">
        <f t="shared" si="83"/>
        <v>261081404</v>
      </c>
    </row>
    <row r="143" spans="1:11" ht="36">
      <c r="A143" s="161" t="s">
        <v>270</v>
      </c>
      <c r="B143" s="172" t="s">
        <v>17</v>
      </c>
      <c r="C143" s="66"/>
      <c r="D143" s="67"/>
      <c r="E143" s="67">
        <f t="shared" ref="E143:K143" si="84">E144+E147+E153+E154</f>
        <v>38062000</v>
      </c>
      <c r="F143" s="67">
        <f t="shared" si="84"/>
        <v>38817780</v>
      </c>
      <c r="G143" s="67">
        <f t="shared" si="84"/>
        <v>37230032</v>
      </c>
      <c r="H143" s="68">
        <f t="shared" si="84"/>
        <v>37230032</v>
      </c>
      <c r="I143" s="67">
        <f t="shared" si="84"/>
        <v>37230032</v>
      </c>
      <c r="J143" s="67">
        <f t="shared" si="84"/>
        <v>0</v>
      </c>
      <c r="K143" s="69">
        <f t="shared" si="84"/>
        <v>37696042</v>
      </c>
    </row>
    <row r="144" spans="1:11" ht="24">
      <c r="A144" s="153" t="s">
        <v>271</v>
      </c>
      <c r="B144" s="126" t="s">
        <v>19</v>
      </c>
      <c r="C144" s="20"/>
      <c r="D144" s="70"/>
      <c r="E144" s="70">
        <f t="shared" ref="E144:K145" si="85">E145</f>
        <v>33787000</v>
      </c>
      <c r="F144" s="70">
        <f t="shared" si="85"/>
        <v>33817780</v>
      </c>
      <c r="G144" s="70">
        <f t="shared" si="85"/>
        <v>32269137</v>
      </c>
      <c r="H144" s="70">
        <f t="shared" si="85"/>
        <v>32269137</v>
      </c>
      <c r="I144" s="70">
        <f t="shared" si="85"/>
        <v>32269137</v>
      </c>
      <c r="J144" s="70">
        <f t="shared" si="85"/>
        <v>0</v>
      </c>
      <c r="K144" s="71">
        <f t="shared" si="85"/>
        <v>32659690</v>
      </c>
    </row>
    <row r="145" spans="1:11" ht="24">
      <c r="A145" s="156" t="s">
        <v>272</v>
      </c>
      <c r="B145" s="127" t="s">
        <v>21</v>
      </c>
      <c r="C145" s="23"/>
      <c r="D145" s="72"/>
      <c r="E145" s="72">
        <f t="shared" si="85"/>
        <v>33787000</v>
      </c>
      <c r="F145" s="72">
        <f t="shared" si="85"/>
        <v>33817780</v>
      </c>
      <c r="G145" s="72">
        <f t="shared" si="85"/>
        <v>32269137</v>
      </c>
      <c r="H145" s="72">
        <f t="shared" si="85"/>
        <v>32269137</v>
      </c>
      <c r="I145" s="72">
        <f t="shared" si="85"/>
        <v>32269137</v>
      </c>
      <c r="J145" s="72">
        <f t="shared" si="85"/>
        <v>0</v>
      </c>
      <c r="K145" s="73">
        <f t="shared" si="85"/>
        <v>32659690</v>
      </c>
    </row>
    <row r="146" spans="1:11" ht="20.100000000000001" customHeight="1">
      <c r="A146" s="155" t="s">
        <v>273</v>
      </c>
      <c r="B146" s="128" t="s">
        <v>23</v>
      </c>
      <c r="C146" s="26"/>
      <c r="D146" s="74"/>
      <c r="E146" s="79">
        <v>33787000</v>
      </c>
      <c r="F146" s="79">
        <v>33817780</v>
      </c>
      <c r="G146" s="79">
        <v>32269137</v>
      </c>
      <c r="H146" s="79">
        <f>G146</f>
        <v>32269137</v>
      </c>
      <c r="I146" s="79">
        <v>32269137</v>
      </c>
      <c r="J146" s="182"/>
      <c r="K146" s="86">
        <v>32659690</v>
      </c>
    </row>
    <row r="147" spans="1:11" ht="36">
      <c r="A147" s="153" t="s">
        <v>274</v>
      </c>
      <c r="B147" s="126" t="s">
        <v>25</v>
      </c>
      <c r="C147" s="20"/>
      <c r="D147" s="77"/>
      <c r="E147" s="77">
        <f t="shared" ref="E147:K147" si="86">E148+E149+E150+E151+E152</f>
        <v>2403000</v>
      </c>
      <c r="F147" s="77">
        <f>F148+F149+F150+F151+F152</f>
        <v>2392000</v>
      </c>
      <c r="G147" s="77">
        <f t="shared" si="86"/>
        <v>2353452</v>
      </c>
      <c r="H147" s="77">
        <f t="shared" si="86"/>
        <v>2353452</v>
      </c>
      <c r="I147" s="77">
        <f t="shared" si="86"/>
        <v>2353452</v>
      </c>
      <c r="J147" s="77">
        <f t="shared" si="86"/>
        <v>0</v>
      </c>
      <c r="K147" s="78">
        <f t="shared" si="86"/>
        <v>2391866</v>
      </c>
    </row>
    <row r="148" spans="1:11" ht="24">
      <c r="A148" s="155" t="s">
        <v>275</v>
      </c>
      <c r="B148" s="128" t="s">
        <v>27</v>
      </c>
      <c r="C148" s="26"/>
      <c r="D148" s="74"/>
      <c r="E148" s="79">
        <v>10000</v>
      </c>
      <c r="F148" s="79"/>
      <c r="G148" s="79"/>
      <c r="H148" s="79"/>
      <c r="I148" s="79"/>
      <c r="J148" s="137"/>
      <c r="K148" s="86"/>
    </row>
    <row r="149" spans="1:11" ht="36" hidden="1">
      <c r="A149" s="155" t="s">
        <v>28</v>
      </c>
      <c r="B149" s="128" t="s">
        <v>29</v>
      </c>
      <c r="C149" s="26"/>
      <c r="D149" s="74"/>
      <c r="E149" s="34"/>
      <c r="F149" s="34"/>
      <c r="G149" s="34"/>
      <c r="H149" s="34"/>
      <c r="I149" s="34"/>
      <c r="J149" s="79">
        <f t="shared" ref="J149:J157" si="87">G149-I149</f>
        <v>0</v>
      </c>
      <c r="K149" s="80"/>
    </row>
    <row r="150" spans="1:11" ht="48" hidden="1">
      <c r="A150" s="155" t="s">
        <v>30</v>
      </c>
      <c r="B150" s="128" t="s">
        <v>31</v>
      </c>
      <c r="C150" s="26"/>
      <c r="D150" s="74"/>
      <c r="E150" s="34"/>
      <c r="F150" s="34"/>
      <c r="G150" s="34"/>
      <c r="H150" s="34"/>
      <c r="I150" s="34"/>
      <c r="J150" s="79">
        <f t="shared" si="87"/>
        <v>0</v>
      </c>
      <c r="K150" s="80"/>
    </row>
    <row r="151" spans="1:11" ht="24">
      <c r="A151" s="155" t="s">
        <v>32</v>
      </c>
      <c r="B151" s="128" t="s">
        <v>33</v>
      </c>
      <c r="C151" s="26"/>
      <c r="D151" s="74"/>
      <c r="E151" s="79">
        <v>2393000</v>
      </c>
      <c r="F151" s="79">
        <v>2392000</v>
      </c>
      <c r="G151" s="79">
        <v>2353452</v>
      </c>
      <c r="H151" s="79">
        <f>G151</f>
        <v>2353452</v>
      </c>
      <c r="I151" s="79">
        <v>2353452</v>
      </c>
      <c r="J151" s="137"/>
      <c r="K151" s="86">
        <v>2391866</v>
      </c>
    </row>
    <row r="152" spans="1:11" ht="15">
      <c r="A152" s="155" t="s">
        <v>34</v>
      </c>
      <c r="B152" s="128" t="s">
        <v>35</v>
      </c>
      <c r="C152" s="26"/>
      <c r="D152" s="74"/>
      <c r="E152" s="34"/>
      <c r="F152" s="34"/>
      <c r="G152" s="34"/>
      <c r="H152" s="79"/>
      <c r="I152" s="34"/>
      <c r="J152" s="79"/>
      <c r="K152" s="80"/>
    </row>
    <row r="153" spans="1:11" ht="24">
      <c r="A153" s="153" t="s">
        <v>36</v>
      </c>
      <c r="B153" s="126" t="s">
        <v>37</v>
      </c>
      <c r="C153" s="20"/>
      <c r="D153" s="82"/>
      <c r="E153" s="83">
        <v>1872000</v>
      </c>
      <c r="F153" s="83">
        <v>2608000</v>
      </c>
      <c r="G153" s="83">
        <v>2607443</v>
      </c>
      <c r="H153" s="83">
        <f>G153</f>
        <v>2607443</v>
      </c>
      <c r="I153" s="83">
        <v>2607443</v>
      </c>
      <c r="J153" s="83">
        <f t="shared" si="87"/>
        <v>0</v>
      </c>
      <c r="K153" s="84">
        <v>2644486</v>
      </c>
    </row>
    <row r="154" spans="1:11" ht="48" hidden="1">
      <c r="A154" s="153" t="s">
        <v>38</v>
      </c>
      <c r="B154" s="126" t="s">
        <v>39</v>
      </c>
      <c r="C154" s="20"/>
      <c r="D154" s="70"/>
      <c r="E154" s="70">
        <f t="shared" ref="E154:K154" si="88">E155+E156+E157</f>
        <v>0</v>
      </c>
      <c r="F154" s="70">
        <f t="shared" si="88"/>
        <v>0</v>
      </c>
      <c r="G154" s="70">
        <f t="shared" si="88"/>
        <v>0</v>
      </c>
      <c r="H154" s="70">
        <f t="shared" si="88"/>
        <v>0</v>
      </c>
      <c r="I154" s="70">
        <f t="shared" si="88"/>
        <v>0</v>
      </c>
      <c r="J154" s="70">
        <f t="shared" si="87"/>
        <v>0</v>
      </c>
      <c r="K154" s="71">
        <f t="shared" si="88"/>
        <v>0</v>
      </c>
    </row>
    <row r="155" spans="1:11" ht="48" hidden="1">
      <c r="A155" s="155" t="s">
        <v>42</v>
      </c>
      <c r="B155" s="128" t="s">
        <v>41</v>
      </c>
      <c r="C155" s="26"/>
      <c r="D155" s="74"/>
      <c r="E155" s="34"/>
      <c r="F155" s="34"/>
      <c r="G155" s="34"/>
      <c r="H155" s="34"/>
      <c r="I155" s="34"/>
      <c r="J155" s="79">
        <f t="shared" si="87"/>
        <v>0</v>
      </c>
      <c r="K155" s="80"/>
    </row>
    <row r="156" spans="1:11" ht="48" hidden="1">
      <c r="A156" s="155" t="s">
        <v>43</v>
      </c>
      <c r="B156" s="128" t="s">
        <v>44</v>
      </c>
      <c r="C156" s="26"/>
      <c r="D156" s="74"/>
      <c r="E156" s="34"/>
      <c r="F156" s="34"/>
      <c r="G156" s="34"/>
      <c r="H156" s="74"/>
      <c r="I156" s="34"/>
      <c r="J156" s="79">
        <f t="shared" si="87"/>
        <v>0</v>
      </c>
      <c r="K156" s="80"/>
    </row>
    <row r="157" spans="1:11" ht="36" hidden="1">
      <c r="A157" s="155" t="s">
        <v>45</v>
      </c>
      <c r="B157" s="129" t="s">
        <v>46</v>
      </c>
      <c r="C157" s="38"/>
      <c r="D157" s="74"/>
      <c r="E157" s="34"/>
      <c r="F157" s="34"/>
      <c r="G157" s="34"/>
      <c r="H157" s="74"/>
      <c r="I157" s="34"/>
      <c r="J157" s="79">
        <f t="shared" si="87"/>
        <v>0</v>
      </c>
      <c r="K157" s="80"/>
    </row>
    <row r="158" spans="1:11" ht="36">
      <c r="A158" s="152" t="s">
        <v>47</v>
      </c>
      <c r="B158" s="167" t="s">
        <v>48</v>
      </c>
      <c r="C158" s="17"/>
      <c r="D158" s="68"/>
      <c r="E158" s="68">
        <f t="shared" ref="E158:K158" si="89">E159+E161</f>
        <v>10395000</v>
      </c>
      <c r="F158" s="68">
        <f t="shared" si="89"/>
        <v>10583659</v>
      </c>
      <c r="G158" s="68">
        <f t="shared" si="89"/>
        <v>10508118</v>
      </c>
      <c r="H158" s="68">
        <f t="shared" si="89"/>
        <v>10508118</v>
      </c>
      <c r="I158" s="68">
        <f t="shared" si="89"/>
        <v>10508118</v>
      </c>
      <c r="J158" s="68">
        <f t="shared" si="89"/>
        <v>0</v>
      </c>
      <c r="K158" s="85">
        <f t="shared" si="89"/>
        <v>10746320</v>
      </c>
    </row>
    <row r="159" spans="1:11" ht="15.75">
      <c r="A159" s="153" t="s">
        <v>49</v>
      </c>
      <c r="B159" s="126" t="s">
        <v>50</v>
      </c>
      <c r="C159" s="20"/>
      <c r="D159" s="70"/>
      <c r="E159" s="70">
        <f t="shared" ref="E159:K159" si="90">E160</f>
        <v>0</v>
      </c>
      <c r="F159" s="70">
        <f t="shared" si="90"/>
        <v>0</v>
      </c>
      <c r="G159" s="70">
        <f t="shared" si="90"/>
        <v>0</v>
      </c>
      <c r="H159" s="70">
        <f t="shared" si="90"/>
        <v>0</v>
      </c>
      <c r="I159" s="70">
        <f t="shared" si="90"/>
        <v>0</v>
      </c>
      <c r="J159" s="70">
        <f t="shared" si="90"/>
        <v>0</v>
      </c>
      <c r="K159" s="71">
        <f t="shared" si="90"/>
        <v>0</v>
      </c>
    </row>
    <row r="160" spans="1:11" ht="15">
      <c r="A160" s="155" t="s">
        <v>276</v>
      </c>
      <c r="B160" s="128" t="s">
        <v>52</v>
      </c>
      <c r="C160" s="26"/>
      <c r="D160" s="74"/>
      <c r="E160" s="34"/>
      <c r="F160" s="34"/>
      <c r="G160" s="34"/>
      <c r="H160" s="34"/>
      <c r="I160" s="34"/>
      <c r="J160" s="79">
        <f>G160-I160</f>
        <v>0</v>
      </c>
      <c r="K160" s="80"/>
    </row>
    <row r="161" spans="1:11" ht="48">
      <c r="A161" s="153" t="s">
        <v>277</v>
      </c>
      <c r="B161" s="126" t="s">
        <v>54</v>
      </c>
      <c r="C161" s="20"/>
      <c r="D161" s="70"/>
      <c r="E161" s="70">
        <f t="shared" ref="E161:K161" si="91">E162+E164+E165</f>
        <v>10395000</v>
      </c>
      <c r="F161" s="70">
        <f t="shared" si="91"/>
        <v>10583659</v>
      </c>
      <c r="G161" s="70">
        <f t="shared" si="91"/>
        <v>10508118</v>
      </c>
      <c r="H161" s="70">
        <f t="shared" si="91"/>
        <v>10508118</v>
      </c>
      <c r="I161" s="70">
        <f t="shared" si="91"/>
        <v>10508118</v>
      </c>
      <c r="J161" s="70">
        <f>J162+J164+J165</f>
        <v>0</v>
      </c>
      <c r="K161" s="71">
        <f t="shared" si="91"/>
        <v>10746320</v>
      </c>
    </row>
    <row r="162" spans="1:11" ht="20.100000000000001" customHeight="1">
      <c r="A162" s="156" t="s">
        <v>55</v>
      </c>
      <c r="B162" s="127" t="s">
        <v>56</v>
      </c>
      <c r="C162" s="23"/>
      <c r="D162" s="72"/>
      <c r="E162" s="72">
        <f t="shared" ref="E162:K162" si="92">E163</f>
        <v>10345000</v>
      </c>
      <c r="F162" s="72">
        <f t="shared" si="92"/>
        <v>10533659</v>
      </c>
      <c r="G162" s="72">
        <f t="shared" si="92"/>
        <v>10459209</v>
      </c>
      <c r="H162" s="72">
        <f t="shared" si="92"/>
        <v>10459209</v>
      </c>
      <c r="I162" s="72">
        <f t="shared" si="92"/>
        <v>10459209</v>
      </c>
      <c r="J162" s="72">
        <f t="shared" si="92"/>
        <v>0</v>
      </c>
      <c r="K162" s="73">
        <f t="shared" si="92"/>
        <v>10664331</v>
      </c>
    </row>
    <row r="163" spans="1:11" ht="20.100000000000001" customHeight="1">
      <c r="A163" s="155" t="s">
        <v>57</v>
      </c>
      <c r="B163" s="128" t="s">
        <v>58</v>
      </c>
      <c r="C163" s="26"/>
      <c r="D163" s="74"/>
      <c r="E163" s="79">
        <v>10345000</v>
      </c>
      <c r="F163" s="79">
        <f>10605000-71341</f>
        <v>10533659</v>
      </c>
      <c r="G163" s="79">
        <f>10530550-71341</f>
        <v>10459209</v>
      </c>
      <c r="H163" s="79">
        <f>G163</f>
        <v>10459209</v>
      </c>
      <c r="I163" s="79">
        <f>10530550-71341</f>
        <v>10459209</v>
      </c>
      <c r="J163" s="137">
        <f>G163-I163</f>
        <v>0</v>
      </c>
      <c r="K163" s="86">
        <v>10664331</v>
      </c>
    </row>
    <row r="164" spans="1:11" ht="36">
      <c r="A164" s="155" t="s">
        <v>59</v>
      </c>
      <c r="B164" s="128" t="s">
        <v>60</v>
      </c>
      <c r="C164" s="26"/>
      <c r="D164" s="74"/>
      <c r="E164" s="79">
        <v>50000</v>
      </c>
      <c r="F164" s="79">
        <v>50000</v>
      </c>
      <c r="G164" s="79">
        <v>48909</v>
      </c>
      <c r="H164" s="79">
        <f>G164</f>
        <v>48909</v>
      </c>
      <c r="I164" s="79">
        <v>48909</v>
      </c>
      <c r="J164" s="137">
        <f>G164-I164</f>
        <v>0</v>
      </c>
      <c r="K164" s="86">
        <v>81989</v>
      </c>
    </row>
    <row r="165" spans="1:11" ht="24">
      <c r="A165" s="155" t="s">
        <v>61</v>
      </c>
      <c r="B165" s="128" t="s">
        <v>62</v>
      </c>
      <c r="C165" s="26"/>
      <c r="D165" s="74"/>
      <c r="E165" s="79"/>
      <c r="F165" s="79"/>
      <c r="G165" s="79"/>
      <c r="H165" s="79"/>
      <c r="I165" s="79"/>
      <c r="J165" s="79">
        <f>G165-I165</f>
        <v>0</v>
      </c>
      <c r="K165" s="86"/>
    </row>
    <row r="166" spans="1:11" ht="36">
      <c r="A166" s="152" t="s">
        <v>63</v>
      </c>
      <c r="B166" s="167" t="s">
        <v>64</v>
      </c>
      <c r="C166" s="17"/>
      <c r="D166" s="68"/>
      <c r="E166" s="68">
        <f t="shared" ref="E166:K166" si="93">E167+E183+E190+E207</f>
        <v>119546000</v>
      </c>
      <c r="F166" s="68">
        <f t="shared" si="93"/>
        <v>131782083</v>
      </c>
      <c r="G166" s="68">
        <f t="shared" si="93"/>
        <v>128256261</v>
      </c>
      <c r="H166" s="68">
        <f t="shared" si="93"/>
        <v>128256261</v>
      </c>
      <c r="I166" s="68">
        <f t="shared" si="93"/>
        <v>128256261</v>
      </c>
      <c r="J166" s="68">
        <f t="shared" si="93"/>
        <v>0</v>
      </c>
      <c r="K166" s="85">
        <f t="shared" si="93"/>
        <v>128324208</v>
      </c>
    </row>
    <row r="167" spans="1:11" ht="48">
      <c r="A167" s="153" t="s">
        <v>65</v>
      </c>
      <c r="B167" s="126" t="s">
        <v>66</v>
      </c>
      <c r="C167" s="20"/>
      <c r="D167" s="70"/>
      <c r="E167" s="70">
        <f>E168+E171+E175+E176+E178+E182+E181</f>
        <v>32466000</v>
      </c>
      <c r="F167" s="70">
        <f t="shared" ref="F167:K167" si="94">F168+F171+F175+F176+F178+F182+F181</f>
        <v>41124669</v>
      </c>
      <c r="G167" s="70">
        <f t="shared" si="94"/>
        <v>38512314</v>
      </c>
      <c r="H167" s="70">
        <f t="shared" si="94"/>
        <v>38512314</v>
      </c>
      <c r="I167" s="70">
        <f t="shared" si="94"/>
        <v>38512314</v>
      </c>
      <c r="J167" s="70">
        <f t="shared" si="94"/>
        <v>0</v>
      </c>
      <c r="K167" s="70">
        <f t="shared" si="94"/>
        <v>37831388</v>
      </c>
    </row>
    <row r="168" spans="1:11" ht="24">
      <c r="A168" s="156" t="s">
        <v>278</v>
      </c>
      <c r="B168" s="127" t="s">
        <v>68</v>
      </c>
      <c r="C168" s="23"/>
      <c r="D168" s="72"/>
      <c r="E168" s="87">
        <f t="shared" ref="E168:K168" si="95">E169+E170</f>
        <v>3927000</v>
      </c>
      <c r="F168" s="87">
        <f t="shared" si="95"/>
        <v>6617457</v>
      </c>
      <c r="G168" s="87">
        <f t="shared" si="95"/>
        <v>6241472</v>
      </c>
      <c r="H168" s="87">
        <f t="shared" si="95"/>
        <v>6241472</v>
      </c>
      <c r="I168" s="87">
        <f t="shared" si="95"/>
        <v>6241472</v>
      </c>
      <c r="J168" s="87">
        <f>J169+J170</f>
        <v>0</v>
      </c>
      <c r="K168" s="88">
        <f t="shared" si="95"/>
        <v>6332151</v>
      </c>
    </row>
    <row r="169" spans="1:11" ht="25.5" customHeight="1">
      <c r="A169" s="155" t="s">
        <v>69</v>
      </c>
      <c r="B169" s="128" t="s">
        <v>70</v>
      </c>
      <c r="C169" s="26"/>
      <c r="D169" s="74"/>
      <c r="E169" s="79">
        <f>'[1]13+verif'!E165</f>
        <v>3245804</v>
      </c>
      <c r="F169" s="79">
        <f>'[1]13+verif'!F165</f>
        <v>5523240</v>
      </c>
      <c r="G169" s="79">
        <f>'[1]13+verif'!G165</f>
        <v>5147275</v>
      </c>
      <c r="H169" s="79">
        <f>'[1]13+verif'!H165</f>
        <v>5147275</v>
      </c>
      <c r="I169" s="79">
        <f>'[1]13+verif'!I165</f>
        <v>5147275</v>
      </c>
      <c r="J169" s="79">
        <f>'[1]13+verif'!J165</f>
        <v>0</v>
      </c>
      <c r="K169" s="79">
        <f>'[1]13+verif'!K165</f>
        <v>5256544</v>
      </c>
    </row>
    <row r="170" spans="1:11" ht="15">
      <c r="A170" s="155" t="s">
        <v>71</v>
      </c>
      <c r="B170" s="128" t="s">
        <v>72</v>
      </c>
      <c r="C170" s="26"/>
      <c r="D170" s="74"/>
      <c r="E170" s="79">
        <f>'[1]13+verif'!E166</f>
        <v>681196</v>
      </c>
      <c r="F170" s="79">
        <f>'[1]13+verif'!F166</f>
        <v>1094217</v>
      </c>
      <c r="G170" s="79">
        <f>'[1]13+verif'!G166</f>
        <v>1094197</v>
      </c>
      <c r="H170" s="79">
        <f>'[1]13+verif'!H166</f>
        <v>1094197</v>
      </c>
      <c r="I170" s="79">
        <f>'[1]13+verif'!I166</f>
        <v>1094197</v>
      </c>
      <c r="J170" s="79">
        <f>'[1]13+verif'!J166</f>
        <v>0</v>
      </c>
      <c r="K170" s="79">
        <f>'[1]13+verif'!K166</f>
        <v>1075607</v>
      </c>
    </row>
    <row r="171" spans="1:11" ht="24">
      <c r="A171" s="156" t="s">
        <v>279</v>
      </c>
      <c r="B171" s="127" t="s">
        <v>74</v>
      </c>
      <c r="C171" s="23"/>
      <c r="D171" s="72"/>
      <c r="E171" s="89">
        <f>'[1]13+verif'!E167</f>
        <v>23739000</v>
      </c>
      <c r="F171" s="89">
        <f>'[1]13+verif'!F167</f>
        <v>32462212</v>
      </c>
      <c r="G171" s="89">
        <f>'[1]13+verif'!G167</f>
        <v>30261622</v>
      </c>
      <c r="H171" s="89">
        <f>'[1]13+verif'!H167</f>
        <v>30261622</v>
      </c>
      <c r="I171" s="89">
        <f>'[1]13+verif'!I167</f>
        <v>30261622</v>
      </c>
      <c r="J171" s="89">
        <f>'[1]13+verif'!J167</f>
        <v>0</v>
      </c>
      <c r="K171" s="89">
        <f>'[1]13+verif'!K167</f>
        <v>29490017</v>
      </c>
    </row>
    <row r="172" spans="1:11" ht="15">
      <c r="A172" s="155" t="s">
        <v>280</v>
      </c>
      <c r="B172" s="128" t="s">
        <v>76</v>
      </c>
      <c r="C172" s="26"/>
      <c r="D172" s="74"/>
      <c r="E172" s="79">
        <f>'[1]13+verif'!E168</f>
        <v>5763518</v>
      </c>
      <c r="F172" s="79">
        <f>'[1]13+verif'!F168</f>
        <v>9413771</v>
      </c>
      <c r="G172" s="79">
        <f>'[1]13+verif'!G168</f>
        <v>9170166</v>
      </c>
      <c r="H172" s="79">
        <f>'[1]13+verif'!H168</f>
        <v>9170166</v>
      </c>
      <c r="I172" s="79">
        <f>'[1]13+verif'!I168</f>
        <v>9170166</v>
      </c>
      <c r="J172" s="79">
        <f>'[1]13+verif'!J168</f>
        <v>0</v>
      </c>
      <c r="K172" s="79">
        <f>'[1]13+verif'!K168</f>
        <v>8824415</v>
      </c>
    </row>
    <row r="173" spans="1:11" ht="15">
      <c r="A173" s="155" t="s">
        <v>77</v>
      </c>
      <c r="B173" s="128" t="s">
        <v>78</v>
      </c>
      <c r="C173" s="26"/>
      <c r="D173" s="74"/>
      <c r="E173" s="79">
        <f>'[1]13+verif'!E169</f>
        <v>17975482</v>
      </c>
      <c r="F173" s="79">
        <f>'[1]13+verif'!F169</f>
        <v>23048441</v>
      </c>
      <c r="G173" s="79">
        <f>'[1]13+verif'!G169</f>
        <v>21091456</v>
      </c>
      <c r="H173" s="79">
        <f>'[1]13+verif'!H169</f>
        <v>21091456</v>
      </c>
      <c r="I173" s="79">
        <f>'[1]13+verif'!I169</f>
        <v>21091456</v>
      </c>
      <c r="J173" s="79">
        <f>'[1]13+verif'!J169</f>
        <v>0</v>
      </c>
      <c r="K173" s="79">
        <f>'[1]13+verif'!K169</f>
        <v>20665602</v>
      </c>
    </row>
    <row r="174" spans="1:11" ht="15">
      <c r="A174" s="155" t="s">
        <v>79</v>
      </c>
      <c r="B174" s="128" t="s">
        <v>80</v>
      </c>
      <c r="C174" s="26"/>
      <c r="D174" s="74"/>
      <c r="E174" s="79">
        <f>'[1]13+verif'!E170</f>
        <v>0</v>
      </c>
      <c r="F174" s="79">
        <f>'[1]13+verif'!F170</f>
        <v>0</v>
      </c>
      <c r="G174" s="79">
        <f>'[1]13+verif'!G170</f>
        <v>0</v>
      </c>
      <c r="H174" s="79">
        <f>'[1]13+verif'!H170</f>
        <v>0</v>
      </c>
      <c r="I174" s="79">
        <f>'[1]13+verif'!I170</f>
        <v>0</v>
      </c>
      <c r="J174" s="79">
        <f>'[1]13+verif'!J170</f>
        <v>0</v>
      </c>
      <c r="K174" s="79">
        <f>'[1]13+verif'!K170</f>
        <v>0</v>
      </c>
    </row>
    <row r="175" spans="1:11" ht="15">
      <c r="A175" s="155" t="s">
        <v>81</v>
      </c>
      <c r="B175" s="128" t="s">
        <v>82</v>
      </c>
      <c r="C175" s="26"/>
      <c r="D175" s="74"/>
      <c r="E175" s="79">
        <f>'[1]13+verif'!E171</f>
        <v>0</v>
      </c>
      <c r="F175" s="79">
        <f>'[1]13+verif'!F171</f>
        <v>0</v>
      </c>
      <c r="G175" s="79">
        <f>'[1]13+verif'!G171</f>
        <v>0</v>
      </c>
      <c r="H175" s="79">
        <f>'[1]13+verif'!H171</f>
        <v>0</v>
      </c>
      <c r="I175" s="79">
        <f>'[1]13+verif'!I171</f>
        <v>0</v>
      </c>
      <c r="J175" s="79">
        <f>'[1]13+verif'!J171</f>
        <v>0</v>
      </c>
      <c r="K175" s="79">
        <f>'[1]13+verif'!K171</f>
        <v>0</v>
      </c>
    </row>
    <row r="176" spans="1:11" ht="24" hidden="1">
      <c r="A176" s="156" t="s">
        <v>281</v>
      </c>
      <c r="B176" s="127" t="s">
        <v>84</v>
      </c>
      <c r="C176" s="23"/>
      <c r="D176" s="72">
        <f>D177</f>
        <v>0</v>
      </c>
      <c r="E176" s="89">
        <f>'[1]13+verif'!E172</f>
        <v>0</v>
      </c>
      <c r="F176" s="89">
        <f>'[1]13+verif'!F172</f>
        <v>0</v>
      </c>
      <c r="G176" s="89">
        <f>'[1]13+verif'!G172</f>
        <v>0</v>
      </c>
      <c r="H176" s="89">
        <f>'[1]13+verif'!H172</f>
        <v>0</v>
      </c>
      <c r="I176" s="89">
        <f>'[1]13+verif'!I172</f>
        <v>0</v>
      </c>
      <c r="J176" s="89">
        <f>'[1]13+verif'!J172</f>
        <v>0</v>
      </c>
      <c r="K176" s="89">
        <f>'[1]13+verif'!K172</f>
        <v>0</v>
      </c>
    </row>
    <row r="177" spans="1:11" ht="15" hidden="1">
      <c r="A177" s="155" t="s">
        <v>85</v>
      </c>
      <c r="B177" s="128" t="s">
        <v>86</v>
      </c>
      <c r="C177" s="26"/>
      <c r="D177" s="74"/>
      <c r="E177" s="79">
        <f>'[1]13+verif'!E173</f>
        <v>0</v>
      </c>
      <c r="F177" s="79">
        <f>'[1]13+verif'!F173</f>
        <v>0</v>
      </c>
      <c r="G177" s="79">
        <f>'[1]13+verif'!G173</f>
        <v>0</v>
      </c>
      <c r="H177" s="79">
        <f>'[1]13+verif'!H173</f>
        <v>0</v>
      </c>
      <c r="I177" s="79">
        <f>'[1]13+verif'!I173</f>
        <v>0</v>
      </c>
      <c r="J177" s="79">
        <f>'[1]13+verif'!J173</f>
        <v>0</v>
      </c>
      <c r="K177" s="79">
        <f>'[1]13+verif'!K173</f>
        <v>0</v>
      </c>
    </row>
    <row r="178" spans="1:11" ht="36" hidden="1">
      <c r="A178" s="156" t="s">
        <v>282</v>
      </c>
      <c r="B178" s="127" t="s">
        <v>88</v>
      </c>
      <c r="C178" s="23"/>
      <c r="D178" s="72">
        <f>D179+D180</f>
        <v>0</v>
      </c>
      <c r="E178" s="89">
        <f>'[1]13+verif'!E174</f>
        <v>0</v>
      </c>
      <c r="F178" s="89">
        <f>'[1]13+verif'!F174</f>
        <v>0</v>
      </c>
      <c r="G178" s="89">
        <f>'[1]13+verif'!G174</f>
        <v>0</v>
      </c>
      <c r="H178" s="89">
        <f>'[1]13+verif'!H174</f>
        <v>0</v>
      </c>
      <c r="I178" s="89">
        <f>'[1]13+verif'!I174</f>
        <v>0</v>
      </c>
      <c r="J178" s="89">
        <f>'[1]13+verif'!J174</f>
        <v>0</v>
      </c>
      <c r="K178" s="89">
        <f>'[1]13+verif'!K174</f>
        <v>0</v>
      </c>
    </row>
    <row r="179" spans="1:11" ht="15">
      <c r="A179" s="155" t="s">
        <v>89</v>
      </c>
      <c r="B179" s="128" t="s">
        <v>90</v>
      </c>
      <c r="C179" s="26"/>
      <c r="D179" s="90"/>
      <c r="E179" s="79">
        <f>'[1]13+verif'!E175</f>
        <v>0</v>
      </c>
      <c r="F179" s="79">
        <f>'[1]13+verif'!F175</f>
        <v>0</v>
      </c>
      <c r="G179" s="79">
        <f>'[1]13+verif'!G175</f>
        <v>0</v>
      </c>
      <c r="H179" s="79">
        <f>'[1]13+verif'!H175</f>
        <v>0</v>
      </c>
      <c r="I179" s="79">
        <f>'[1]13+verif'!I175</f>
        <v>0</v>
      </c>
      <c r="J179" s="79">
        <f>'[1]13+verif'!J175</f>
        <v>0</v>
      </c>
      <c r="K179" s="79">
        <f>'[1]13+verif'!K175</f>
        <v>0</v>
      </c>
    </row>
    <row r="180" spans="1:11" ht="15">
      <c r="A180" s="155" t="s">
        <v>91</v>
      </c>
      <c r="B180" s="128" t="s">
        <v>92</v>
      </c>
      <c r="C180" s="26"/>
      <c r="D180" s="90"/>
      <c r="E180" s="79">
        <f>'[1]13+verif'!E176</f>
        <v>0</v>
      </c>
      <c r="F180" s="79">
        <f>'[1]13+verif'!F176</f>
        <v>0</v>
      </c>
      <c r="G180" s="79">
        <f>'[1]13+verif'!G176</f>
        <v>0</v>
      </c>
      <c r="H180" s="79">
        <f>'[1]13+verif'!H176</f>
        <v>0</v>
      </c>
      <c r="I180" s="79">
        <f>'[1]13+verif'!I176</f>
        <v>0</v>
      </c>
      <c r="J180" s="79">
        <f>'[1]13+verif'!J176</f>
        <v>0</v>
      </c>
      <c r="K180" s="79">
        <f>'[1]13+verif'!K176</f>
        <v>0</v>
      </c>
    </row>
    <row r="181" spans="1:11" ht="15">
      <c r="A181" s="40" t="s">
        <v>93</v>
      </c>
      <c r="B181" s="168" t="s">
        <v>94</v>
      </c>
      <c r="C181" s="26"/>
      <c r="D181" s="90"/>
      <c r="E181" s="79">
        <f>'[1]13+verif'!E177</f>
        <v>4770000</v>
      </c>
      <c r="F181" s="79">
        <f>'[1]13+verif'!F177</f>
        <v>2015000</v>
      </c>
      <c r="G181" s="79">
        <f>'[1]13+verif'!G177</f>
        <v>1989365</v>
      </c>
      <c r="H181" s="79">
        <f>'[1]13+verif'!H177</f>
        <v>1989365</v>
      </c>
      <c r="I181" s="79">
        <f>'[1]13+verif'!I177</f>
        <v>1989365</v>
      </c>
      <c r="J181" s="79">
        <f>'[1]13+verif'!J177</f>
        <v>0</v>
      </c>
      <c r="K181" s="79">
        <f>'[1]13+verif'!K177</f>
        <v>1989365</v>
      </c>
    </row>
    <row r="182" spans="1:11" ht="24">
      <c r="A182" s="155" t="s">
        <v>95</v>
      </c>
      <c r="B182" s="128" t="s">
        <v>96</v>
      </c>
      <c r="C182" s="26"/>
      <c r="D182" s="90"/>
      <c r="E182" s="79">
        <f>'[1]13+verif'!E178</f>
        <v>30000</v>
      </c>
      <c r="F182" s="79">
        <f>'[1]13+verif'!F178</f>
        <v>30000</v>
      </c>
      <c r="G182" s="79">
        <f>'[1]13+verif'!G178</f>
        <v>19855</v>
      </c>
      <c r="H182" s="79">
        <f>'[1]13+verif'!H178</f>
        <v>19855</v>
      </c>
      <c r="I182" s="79">
        <f>'[1]13+verif'!I178</f>
        <v>19855</v>
      </c>
      <c r="J182" s="79">
        <f>'[1]13+verif'!J178</f>
        <v>0</v>
      </c>
      <c r="K182" s="79">
        <f>'[1]13+verif'!K178</f>
        <v>19855</v>
      </c>
    </row>
    <row r="183" spans="1:11" ht="24">
      <c r="A183" s="153" t="s">
        <v>97</v>
      </c>
      <c r="B183" s="126" t="s">
        <v>98</v>
      </c>
      <c r="C183" s="20"/>
      <c r="D183" s="70"/>
      <c r="E183" s="70">
        <f>E184+E187+E188</f>
        <v>7635000</v>
      </c>
      <c r="F183" s="70">
        <f t="shared" ref="F183:K183" si="96">F184+F187+F188</f>
        <v>5650000</v>
      </c>
      <c r="G183" s="70">
        <f t="shared" si="96"/>
        <v>4951813</v>
      </c>
      <c r="H183" s="70">
        <f t="shared" si="96"/>
        <v>4951813</v>
      </c>
      <c r="I183" s="70">
        <f t="shared" si="96"/>
        <v>4951813</v>
      </c>
      <c r="J183" s="70">
        <f t="shared" si="96"/>
        <v>0</v>
      </c>
      <c r="K183" s="70">
        <f t="shared" si="96"/>
        <v>4880909</v>
      </c>
    </row>
    <row r="184" spans="1:11" ht="36">
      <c r="A184" s="156" t="s">
        <v>99</v>
      </c>
      <c r="B184" s="127" t="s">
        <v>100</v>
      </c>
      <c r="C184" s="23"/>
      <c r="D184" s="72"/>
      <c r="E184" s="72">
        <f t="shared" ref="E184:K184" si="97">E185+E186</f>
        <v>0</v>
      </c>
      <c r="F184" s="72">
        <f t="shared" si="97"/>
        <v>0</v>
      </c>
      <c r="G184" s="72">
        <f t="shared" si="97"/>
        <v>0</v>
      </c>
      <c r="H184" s="72">
        <f t="shared" si="97"/>
        <v>0</v>
      </c>
      <c r="I184" s="72">
        <f t="shared" si="97"/>
        <v>0</v>
      </c>
      <c r="J184" s="72">
        <f>J185+J186</f>
        <v>0</v>
      </c>
      <c r="K184" s="73">
        <f t="shared" si="97"/>
        <v>0</v>
      </c>
    </row>
    <row r="185" spans="1:11" ht="15">
      <c r="A185" s="155" t="s">
        <v>101</v>
      </c>
      <c r="B185" s="128" t="s">
        <v>102</v>
      </c>
      <c r="C185" s="26"/>
      <c r="D185" s="74"/>
      <c r="E185" s="34"/>
      <c r="F185" s="91"/>
      <c r="G185" s="34"/>
      <c r="H185" s="59"/>
      <c r="I185" s="59"/>
      <c r="J185" s="92">
        <f>G185-I185</f>
        <v>0</v>
      </c>
      <c r="K185" s="80"/>
    </row>
    <row r="186" spans="1:11" ht="15">
      <c r="A186" s="155" t="s">
        <v>103</v>
      </c>
      <c r="B186" s="129" t="s">
        <v>104</v>
      </c>
      <c r="C186" s="38"/>
      <c r="D186" s="74"/>
      <c r="E186" s="34"/>
      <c r="F186" s="34"/>
      <c r="G186" s="34"/>
      <c r="H186" s="59"/>
      <c r="I186" s="59"/>
      <c r="J186" s="92">
        <f>G186-I186</f>
        <v>0</v>
      </c>
      <c r="K186" s="80"/>
    </row>
    <row r="187" spans="1:11" ht="15">
      <c r="A187" s="155" t="s">
        <v>105</v>
      </c>
      <c r="B187" s="129" t="s">
        <v>106</v>
      </c>
      <c r="C187" s="38"/>
      <c r="D187" s="74"/>
      <c r="E187" s="34">
        <v>2795000</v>
      </c>
      <c r="F187" s="34">
        <v>526000</v>
      </c>
      <c r="G187" s="34">
        <v>525709</v>
      </c>
      <c r="H187" s="59">
        <f>G187</f>
        <v>525709</v>
      </c>
      <c r="I187" s="59">
        <v>525709</v>
      </c>
      <c r="J187" s="92">
        <f>G187-I187</f>
        <v>0</v>
      </c>
      <c r="K187" s="80">
        <v>477339</v>
      </c>
    </row>
    <row r="188" spans="1:11" ht="36">
      <c r="A188" s="154" t="s">
        <v>107</v>
      </c>
      <c r="B188" s="127" t="s">
        <v>108</v>
      </c>
      <c r="C188" s="23"/>
      <c r="D188" s="72"/>
      <c r="E188" s="87">
        <f t="shared" ref="E188:K188" si="98">E189</f>
        <v>4840000</v>
      </c>
      <c r="F188" s="87">
        <f t="shared" si="98"/>
        <v>5124000</v>
      </c>
      <c r="G188" s="87">
        <f t="shared" si="98"/>
        <v>4426104</v>
      </c>
      <c r="H188" s="87">
        <f t="shared" si="98"/>
        <v>4426104</v>
      </c>
      <c r="I188" s="87">
        <f t="shared" si="98"/>
        <v>4426104</v>
      </c>
      <c r="J188" s="87">
        <f t="shared" si="98"/>
        <v>0</v>
      </c>
      <c r="K188" s="88">
        <f t="shared" si="98"/>
        <v>4403570</v>
      </c>
    </row>
    <row r="189" spans="1:11" ht="15">
      <c r="A189" s="155" t="s">
        <v>109</v>
      </c>
      <c r="B189" s="128" t="s">
        <v>110</v>
      </c>
      <c r="C189" s="26"/>
      <c r="D189" s="74"/>
      <c r="E189" s="79">
        <v>4840000</v>
      </c>
      <c r="F189" s="79">
        <v>5124000</v>
      </c>
      <c r="G189" s="79">
        <v>4426104</v>
      </c>
      <c r="H189" s="79">
        <f>G189</f>
        <v>4426104</v>
      </c>
      <c r="I189" s="79">
        <v>4426104</v>
      </c>
      <c r="J189" s="79">
        <f>H189-I189</f>
        <v>0</v>
      </c>
      <c r="K189" s="178">
        <v>4403570</v>
      </c>
    </row>
    <row r="190" spans="1:11" ht="36">
      <c r="A190" s="153" t="s">
        <v>283</v>
      </c>
      <c r="B190" s="126" t="s">
        <v>112</v>
      </c>
      <c r="C190" s="20"/>
      <c r="D190" s="70"/>
      <c r="E190" s="70">
        <f>E191+E201+E205+E206</f>
        <v>35835000</v>
      </c>
      <c r="F190" s="70">
        <f t="shared" ref="F190:K190" si="99">F191+F201+F205+F206</f>
        <v>40258787</v>
      </c>
      <c r="G190" s="70">
        <f t="shared" si="99"/>
        <v>40174407</v>
      </c>
      <c r="H190" s="70">
        <f t="shared" si="99"/>
        <v>40174407</v>
      </c>
      <c r="I190" s="70">
        <f t="shared" si="99"/>
        <v>40174407</v>
      </c>
      <c r="J190" s="93">
        <f>J191+J201+J205+J206</f>
        <v>0</v>
      </c>
      <c r="K190" s="71">
        <f t="shared" si="99"/>
        <v>40401840</v>
      </c>
    </row>
    <row r="191" spans="1:11" ht="48">
      <c r="A191" s="156" t="s">
        <v>113</v>
      </c>
      <c r="B191" s="127" t="s">
        <v>114</v>
      </c>
      <c r="C191" s="23"/>
      <c r="D191" s="72"/>
      <c r="E191" s="72">
        <f>E192+E193+E194+E195+E196+E197+E198+E199+E200</f>
        <v>21388000</v>
      </c>
      <c r="F191" s="72">
        <f t="shared" ref="F191:K191" si="100">F192+F193+F194+F195+F196+F197+F198+F199+F200</f>
        <v>25406442</v>
      </c>
      <c r="G191" s="72">
        <f>G192+G193+G194+G195+G196+G197+G198+G199+G200</f>
        <v>25374710</v>
      </c>
      <c r="H191" s="72">
        <f t="shared" si="100"/>
        <v>25374710</v>
      </c>
      <c r="I191" s="72">
        <f t="shared" si="100"/>
        <v>25374710</v>
      </c>
      <c r="J191" s="94">
        <f>J192+J193+J194+J195+J196+J197+J198+J199+J200</f>
        <v>0</v>
      </c>
      <c r="K191" s="73">
        <f t="shared" si="100"/>
        <v>25597488</v>
      </c>
    </row>
    <row r="192" spans="1:11" ht="24" hidden="1">
      <c r="A192" s="155" t="s">
        <v>284</v>
      </c>
      <c r="B192" s="128" t="s">
        <v>116</v>
      </c>
      <c r="C192" s="26"/>
      <c r="D192" s="74"/>
      <c r="E192" s="79"/>
      <c r="F192" s="79"/>
      <c r="G192" s="79"/>
      <c r="H192" s="92"/>
      <c r="I192" s="92"/>
      <c r="J192" s="95">
        <f t="shared" ref="J192:J200" si="101">G192-I192</f>
        <v>0</v>
      </c>
      <c r="K192" s="86"/>
    </row>
    <row r="193" spans="1:11" ht="15">
      <c r="A193" s="155" t="s">
        <v>117</v>
      </c>
      <c r="B193" s="128" t="s">
        <v>118</v>
      </c>
      <c r="C193" s="26"/>
      <c r="D193" s="74"/>
      <c r="E193" s="79"/>
      <c r="F193" s="79"/>
      <c r="G193" s="79"/>
      <c r="H193" s="92"/>
      <c r="I193" s="92"/>
      <c r="J193" s="95">
        <f t="shared" si="101"/>
        <v>0</v>
      </c>
      <c r="K193" s="86"/>
    </row>
    <row r="194" spans="1:11" ht="24">
      <c r="A194" s="155" t="s">
        <v>119</v>
      </c>
      <c r="B194" s="128" t="s">
        <v>120</v>
      </c>
      <c r="C194" s="26"/>
      <c r="D194" s="74"/>
      <c r="E194" s="79">
        <v>17108000</v>
      </c>
      <c r="F194" s="79">
        <v>19205673</v>
      </c>
      <c r="G194" s="79">
        <v>19205673</v>
      </c>
      <c r="H194" s="79">
        <f>G194</f>
        <v>19205673</v>
      </c>
      <c r="I194" s="79">
        <v>19205673</v>
      </c>
      <c r="J194" s="182">
        <f t="shared" si="101"/>
        <v>0</v>
      </c>
      <c r="K194" s="86">
        <v>19279220</v>
      </c>
    </row>
    <row r="195" spans="1:11" ht="24">
      <c r="A195" s="155" t="s">
        <v>121</v>
      </c>
      <c r="B195" s="128" t="s">
        <v>122</v>
      </c>
      <c r="C195" s="26"/>
      <c r="D195" s="74"/>
      <c r="E195" s="79"/>
      <c r="F195" s="79"/>
      <c r="G195" s="79"/>
      <c r="H195" s="92"/>
      <c r="I195" s="92"/>
      <c r="J195" s="182">
        <f t="shared" si="101"/>
        <v>0</v>
      </c>
      <c r="K195" s="86"/>
    </row>
    <row r="196" spans="1:11" ht="15">
      <c r="A196" s="155" t="s">
        <v>123</v>
      </c>
      <c r="B196" s="128" t="s">
        <v>124</v>
      </c>
      <c r="C196" s="26"/>
      <c r="D196" s="74"/>
      <c r="E196" s="79">
        <v>4000000</v>
      </c>
      <c r="F196" s="79">
        <v>6000000</v>
      </c>
      <c r="G196" s="79">
        <v>5984180</v>
      </c>
      <c r="H196" s="79">
        <f>G196</f>
        <v>5984180</v>
      </c>
      <c r="I196" s="79">
        <v>5984180</v>
      </c>
      <c r="J196" s="182">
        <f t="shared" si="101"/>
        <v>0</v>
      </c>
      <c r="K196" s="86">
        <v>5984180</v>
      </c>
    </row>
    <row r="197" spans="1:11" ht="15">
      <c r="A197" s="155" t="s">
        <v>125</v>
      </c>
      <c r="B197" s="128" t="s">
        <v>126</v>
      </c>
      <c r="C197" s="26"/>
      <c r="D197" s="74"/>
      <c r="E197" s="34"/>
      <c r="F197" s="34"/>
      <c r="G197" s="34"/>
      <c r="H197" s="59"/>
      <c r="I197" s="59"/>
      <c r="J197" s="92">
        <f t="shared" si="101"/>
        <v>0</v>
      </c>
      <c r="K197" s="80"/>
    </row>
    <row r="198" spans="1:11" ht="24" hidden="1">
      <c r="A198" s="155" t="s">
        <v>127</v>
      </c>
      <c r="B198" s="128" t="s">
        <v>128</v>
      </c>
      <c r="C198" s="26"/>
      <c r="D198" s="74"/>
      <c r="E198" s="34"/>
      <c r="F198" s="34"/>
      <c r="G198" s="34"/>
      <c r="H198" s="59"/>
      <c r="I198" s="59"/>
      <c r="J198" s="92">
        <f t="shared" si="101"/>
        <v>0</v>
      </c>
      <c r="K198" s="80"/>
    </row>
    <row r="199" spans="1:11" ht="24" hidden="1">
      <c r="A199" s="155" t="s">
        <v>129</v>
      </c>
      <c r="B199" s="128" t="s">
        <v>130</v>
      </c>
      <c r="C199" s="26"/>
      <c r="D199" s="74"/>
      <c r="E199" s="34"/>
      <c r="F199" s="34"/>
      <c r="G199" s="34"/>
      <c r="H199" s="59"/>
      <c r="I199" s="59"/>
      <c r="J199" s="92">
        <f t="shared" si="101"/>
        <v>0</v>
      </c>
      <c r="K199" s="80"/>
    </row>
    <row r="200" spans="1:11" ht="15">
      <c r="A200" s="155" t="s">
        <v>131</v>
      </c>
      <c r="B200" s="128" t="s">
        <v>132</v>
      </c>
      <c r="C200" s="26"/>
      <c r="D200" s="74"/>
      <c r="E200" s="79">
        <v>280000</v>
      </c>
      <c r="F200" s="79">
        <v>200769</v>
      </c>
      <c r="G200" s="79">
        <v>184857</v>
      </c>
      <c r="H200" s="79">
        <f>G200</f>
        <v>184857</v>
      </c>
      <c r="I200" s="79">
        <v>184857</v>
      </c>
      <c r="J200" s="137">
        <f t="shared" si="101"/>
        <v>0</v>
      </c>
      <c r="K200" s="86">
        <v>334088</v>
      </c>
    </row>
    <row r="201" spans="1:11" ht="24">
      <c r="A201" s="156" t="s">
        <v>285</v>
      </c>
      <c r="B201" s="127" t="s">
        <v>134</v>
      </c>
      <c r="C201" s="23"/>
      <c r="D201" s="72"/>
      <c r="E201" s="72">
        <f>E202+E203+E204</f>
        <v>14447000</v>
      </c>
      <c r="F201" s="72">
        <f t="shared" ref="F201:K201" si="102">F202+F203+F204</f>
        <v>14852345</v>
      </c>
      <c r="G201" s="72">
        <f>G202+G203+G204</f>
        <v>14799697</v>
      </c>
      <c r="H201" s="72">
        <f t="shared" si="102"/>
        <v>14799697</v>
      </c>
      <c r="I201" s="72">
        <f t="shared" si="102"/>
        <v>14799697</v>
      </c>
      <c r="J201" s="72">
        <f t="shared" si="102"/>
        <v>0</v>
      </c>
      <c r="K201" s="73">
        <f t="shared" si="102"/>
        <v>14804352</v>
      </c>
    </row>
    <row r="202" spans="1:11" ht="20.100000000000001" customHeight="1">
      <c r="A202" s="155" t="s">
        <v>135</v>
      </c>
      <c r="B202" s="128" t="s">
        <v>136</v>
      </c>
      <c r="C202" s="26"/>
      <c r="D202" s="90"/>
      <c r="E202" s="79">
        <v>6447000</v>
      </c>
      <c r="F202" s="79">
        <v>6507000</v>
      </c>
      <c r="G202" s="79">
        <v>6468421</v>
      </c>
      <c r="H202" s="79">
        <f>G202</f>
        <v>6468421</v>
      </c>
      <c r="I202" s="79">
        <v>6468421</v>
      </c>
      <c r="J202" s="92">
        <f>G202-I202</f>
        <v>0</v>
      </c>
      <c r="K202" s="86">
        <v>6468421</v>
      </c>
    </row>
    <row r="203" spans="1:11" ht="15">
      <c r="A203" s="155" t="s">
        <v>137</v>
      </c>
      <c r="B203" s="128" t="s">
        <v>138</v>
      </c>
      <c r="C203" s="26"/>
      <c r="D203" s="90"/>
      <c r="E203" s="79"/>
      <c r="F203" s="79"/>
      <c r="G203" s="79"/>
      <c r="H203" s="92"/>
      <c r="I203" s="92"/>
      <c r="J203" s="92">
        <f>G203-I203</f>
        <v>0</v>
      </c>
      <c r="K203" s="86"/>
    </row>
    <row r="204" spans="1:11" ht="36">
      <c r="A204" s="155" t="s">
        <v>139</v>
      </c>
      <c r="B204" s="128" t="s">
        <v>140</v>
      </c>
      <c r="C204" s="26"/>
      <c r="D204" s="90"/>
      <c r="E204" s="79">
        <v>8000000</v>
      </c>
      <c r="F204" s="79">
        <v>8345345</v>
      </c>
      <c r="G204" s="79">
        <v>8331276</v>
      </c>
      <c r="H204" s="79">
        <f>G204</f>
        <v>8331276</v>
      </c>
      <c r="I204" s="79">
        <v>8331276</v>
      </c>
      <c r="J204" s="182">
        <f>G204-I204</f>
        <v>0</v>
      </c>
      <c r="K204" s="86">
        <v>8335931</v>
      </c>
    </row>
    <row r="205" spans="1:11" ht="15">
      <c r="A205" s="155" t="s">
        <v>141</v>
      </c>
      <c r="B205" s="128" t="s">
        <v>142</v>
      </c>
      <c r="C205" s="26"/>
      <c r="D205" s="90"/>
      <c r="E205" s="79"/>
      <c r="F205" s="79"/>
      <c r="G205" s="79"/>
      <c r="H205" s="92"/>
      <c r="I205" s="92"/>
      <c r="J205" s="92">
        <f>G205-I205</f>
        <v>0</v>
      </c>
      <c r="K205" s="86"/>
    </row>
    <row r="206" spans="1:11" ht="24">
      <c r="A206" s="155" t="s">
        <v>286</v>
      </c>
      <c r="B206" s="128" t="s">
        <v>144</v>
      </c>
      <c r="C206" s="26"/>
      <c r="D206" s="90"/>
      <c r="E206" s="79">
        <v>0</v>
      </c>
      <c r="F206" s="79">
        <v>0</v>
      </c>
      <c r="G206" s="79">
        <v>0</v>
      </c>
      <c r="H206" s="79">
        <f>G206</f>
        <v>0</v>
      </c>
      <c r="I206" s="79">
        <f>G206</f>
        <v>0</v>
      </c>
      <c r="J206" s="137">
        <f>G206-I206</f>
        <v>0</v>
      </c>
      <c r="K206" s="86">
        <v>0</v>
      </c>
    </row>
    <row r="207" spans="1:11" ht="48">
      <c r="A207" s="153" t="s">
        <v>287</v>
      </c>
      <c r="B207" s="126" t="s">
        <v>147</v>
      </c>
      <c r="C207" s="20"/>
      <c r="D207" s="70"/>
      <c r="E207" s="70">
        <f t="shared" ref="E207:K207" si="103">E208+E209+E211+E212+E213+E214+E215+E218</f>
        <v>43610000</v>
      </c>
      <c r="F207" s="70">
        <f t="shared" si="103"/>
        <v>44748627</v>
      </c>
      <c r="G207" s="70">
        <f t="shared" si="103"/>
        <v>44617727</v>
      </c>
      <c r="H207" s="70">
        <f t="shared" si="103"/>
        <v>44617727</v>
      </c>
      <c r="I207" s="70">
        <f t="shared" si="103"/>
        <v>44617727</v>
      </c>
      <c r="J207" s="70">
        <f t="shared" si="103"/>
        <v>0</v>
      </c>
      <c r="K207" s="96">
        <f t="shared" si="103"/>
        <v>45210071</v>
      </c>
    </row>
    <row r="208" spans="1:11" ht="24">
      <c r="A208" s="155" t="s">
        <v>148</v>
      </c>
      <c r="B208" s="128" t="s">
        <v>149</v>
      </c>
      <c r="C208" s="26"/>
      <c r="D208" s="74"/>
      <c r="E208" s="34"/>
      <c r="F208" s="34"/>
      <c r="G208" s="34"/>
      <c r="H208" s="59"/>
      <c r="I208" s="59"/>
      <c r="J208" s="92">
        <f>G208-I208</f>
        <v>0</v>
      </c>
      <c r="K208" s="80"/>
    </row>
    <row r="209" spans="1:11" ht="24">
      <c r="A209" s="156" t="s">
        <v>150</v>
      </c>
      <c r="B209" s="127" t="s">
        <v>151</v>
      </c>
      <c r="C209" s="23"/>
      <c r="D209" s="72"/>
      <c r="E209" s="87">
        <f t="shared" ref="E209:K209" si="104">E210</f>
        <v>34680000</v>
      </c>
      <c r="F209" s="87">
        <f t="shared" si="104"/>
        <v>35560000</v>
      </c>
      <c r="G209" s="72">
        <f t="shared" si="104"/>
        <v>35550767</v>
      </c>
      <c r="H209" s="72">
        <f t="shared" si="104"/>
        <v>35550767</v>
      </c>
      <c r="I209" s="72">
        <f t="shared" si="104"/>
        <v>35550767</v>
      </c>
      <c r="J209" s="72">
        <f t="shared" si="104"/>
        <v>0</v>
      </c>
      <c r="K209" s="73">
        <f t="shared" si="104"/>
        <v>35917196</v>
      </c>
    </row>
    <row r="210" spans="1:11" ht="24">
      <c r="A210" s="155" t="s">
        <v>152</v>
      </c>
      <c r="B210" s="128" t="s">
        <v>153</v>
      </c>
      <c r="C210" s="26"/>
      <c r="D210" s="74"/>
      <c r="E210" s="79">
        <f>21000000+13680000</f>
        <v>34680000</v>
      </c>
      <c r="F210" s="79">
        <f>21985000+13575000</f>
        <v>35560000</v>
      </c>
      <c r="G210" s="79">
        <f>21981589+13569178</f>
        <v>35550767</v>
      </c>
      <c r="H210" s="79">
        <f>G210</f>
        <v>35550767</v>
      </c>
      <c r="I210" s="79">
        <f>21981589+13569178</f>
        <v>35550767</v>
      </c>
      <c r="J210" s="137">
        <f>G210-I210</f>
        <v>0</v>
      </c>
      <c r="K210" s="86">
        <f>22221883+13695313</f>
        <v>35917196</v>
      </c>
    </row>
    <row r="211" spans="1:11" ht="24" hidden="1">
      <c r="A211" s="155" t="s">
        <v>154</v>
      </c>
      <c r="B211" s="128" t="s">
        <v>155</v>
      </c>
      <c r="C211" s="26"/>
      <c r="D211" s="74"/>
      <c r="E211" s="79"/>
      <c r="F211" s="79"/>
      <c r="G211" s="79"/>
      <c r="H211" s="79"/>
      <c r="I211" s="79">
        <f>G211</f>
        <v>0</v>
      </c>
      <c r="J211" s="137">
        <f>G211-I211</f>
        <v>0</v>
      </c>
      <c r="K211" s="86"/>
    </row>
    <row r="212" spans="1:11" ht="15" hidden="1">
      <c r="A212" s="155" t="s">
        <v>156</v>
      </c>
      <c r="B212" s="128" t="s">
        <v>157</v>
      </c>
      <c r="C212" s="26"/>
      <c r="D212" s="74"/>
      <c r="E212" s="34"/>
      <c r="F212" s="34"/>
      <c r="G212" s="34"/>
      <c r="H212" s="79"/>
      <c r="I212" s="59"/>
      <c r="J212" s="92">
        <f>G212-I212</f>
        <v>0</v>
      </c>
      <c r="K212" s="86"/>
    </row>
    <row r="213" spans="1:11" ht="15" hidden="1">
      <c r="A213" s="155" t="s">
        <v>158</v>
      </c>
      <c r="B213" s="173" t="s">
        <v>159</v>
      </c>
      <c r="C213" s="26"/>
      <c r="D213" s="74"/>
      <c r="E213" s="79"/>
      <c r="F213" s="79"/>
      <c r="G213" s="79"/>
      <c r="H213" s="79"/>
      <c r="I213" s="79"/>
      <c r="J213" s="79">
        <f>H213-I213</f>
        <v>0</v>
      </c>
      <c r="K213" s="178"/>
    </row>
    <row r="214" spans="1:11" ht="24" hidden="1">
      <c r="A214" s="155" t="s">
        <v>160</v>
      </c>
      <c r="B214" s="129" t="s">
        <v>161</v>
      </c>
      <c r="C214" s="38"/>
      <c r="D214" s="74"/>
      <c r="E214" s="34"/>
      <c r="F214" s="34"/>
      <c r="G214" s="34"/>
      <c r="H214" s="59"/>
      <c r="I214" s="59"/>
      <c r="J214" s="92">
        <f>G214-I214</f>
        <v>0</v>
      </c>
      <c r="K214" s="86">
        <f>I214</f>
        <v>0</v>
      </c>
    </row>
    <row r="215" spans="1:11" ht="24">
      <c r="A215" s="154" t="s">
        <v>162</v>
      </c>
      <c r="B215" s="127" t="s">
        <v>163</v>
      </c>
      <c r="C215" s="23"/>
      <c r="D215" s="72"/>
      <c r="E215" s="72">
        <f t="shared" ref="E215:K215" si="105">E216+E217</f>
        <v>60000</v>
      </c>
      <c r="F215" s="72">
        <f t="shared" si="105"/>
        <v>95000</v>
      </c>
      <c r="G215" s="72">
        <f t="shared" si="105"/>
        <v>94768</v>
      </c>
      <c r="H215" s="72">
        <f t="shared" si="105"/>
        <v>94768</v>
      </c>
      <c r="I215" s="72">
        <f t="shared" si="105"/>
        <v>94768</v>
      </c>
      <c r="J215" s="72">
        <f t="shared" si="105"/>
        <v>0</v>
      </c>
      <c r="K215" s="73">
        <f t="shared" si="105"/>
        <v>94268</v>
      </c>
    </row>
    <row r="216" spans="1:11" ht="15">
      <c r="A216" s="155" t="s">
        <v>164</v>
      </c>
      <c r="B216" s="128" t="s">
        <v>165</v>
      </c>
      <c r="C216" s="26"/>
      <c r="D216" s="74"/>
      <c r="E216" s="79">
        <f>60000</f>
        <v>60000</v>
      </c>
      <c r="F216" s="79">
        <f>95000</f>
        <v>95000</v>
      </c>
      <c r="G216" s="79">
        <f>94768</f>
        <v>94768</v>
      </c>
      <c r="H216" s="79">
        <f>G216</f>
        <v>94768</v>
      </c>
      <c r="I216" s="79">
        <f>94768</f>
        <v>94768</v>
      </c>
      <c r="J216" s="137">
        <f>G216-I216</f>
        <v>0</v>
      </c>
      <c r="K216" s="86">
        <f>94268</f>
        <v>94268</v>
      </c>
    </row>
    <row r="217" spans="1:11" ht="15">
      <c r="A217" s="155" t="s">
        <v>166</v>
      </c>
      <c r="B217" s="128" t="s">
        <v>167</v>
      </c>
      <c r="C217" s="26"/>
      <c r="D217" s="74"/>
      <c r="E217" s="34"/>
      <c r="F217" s="34"/>
      <c r="G217" s="34"/>
      <c r="H217" s="34"/>
      <c r="I217" s="59"/>
      <c r="J217" s="92">
        <f>G217-I217</f>
        <v>0</v>
      </c>
      <c r="K217" s="86"/>
    </row>
    <row r="218" spans="1:11" ht="24">
      <c r="A218" s="155" t="s">
        <v>168</v>
      </c>
      <c r="B218" s="173" t="s">
        <v>169</v>
      </c>
      <c r="C218" s="26"/>
      <c r="D218" s="74"/>
      <c r="E218" s="79">
        <f>8820000+50000</f>
        <v>8870000</v>
      </c>
      <c r="F218" s="79">
        <f>9073627+20000</f>
        <v>9093627</v>
      </c>
      <c r="G218" s="79">
        <f>8952244+20000-52</f>
        <v>8972192</v>
      </c>
      <c r="H218" s="79">
        <f>G218</f>
        <v>8972192</v>
      </c>
      <c r="I218" s="79">
        <f>8952244+20000-52</f>
        <v>8972192</v>
      </c>
      <c r="J218" s="79">
        <f>H218-I218</f>
        <v>0</v>
      </c>
      <c r="K218" s="178">
        <f>9178607+20000</f>
        <v>9198607</v>
      </c>
    </row>
    <row r="219" spans="1:11" ht="48">
      <c r="A219" s="152" t="s">
        <v>172</v>
      </c>
      <c r="B219" s="167"/>
      <c r="C219" s="17"/>
      <c r="D219" s="68"/>
      <c r="E219" s="68">
        <f t="shared" ref="E219:K219" si="106">E220+E230</f>
        <v>36310000</v>
      </c>
      <c r="F219" s="68">
        <f>F220+F230</f>
        <v>28958488</v>
      </c>
      <c r="G219" s="68">
        <f t="shared" si="106"/>
        <v>26885278</v>
      </c>
      <c r="H219" s="68">
        <f t="shared" si="106"/>
        <v>26885278</v>
      </c>
      <c r="I219" s="68">
        <f t="shared" si="106"/>
        <v>26885278</v>
      </c>
      <c r="J219" s="68">
        <f>J220+J230</f>
        <v>0</v>
      </c>
      <c r="K219" s="85">
        <f t="shared" si="106"/>
        <v>24382507</v>
      </c>
    </row>
    <row r="220" spans="1:11" ht="36">
      <c r="A220" s="153" t="s">
        <v>288</v>
      </c>
      <c r="B220" s="126" t="s">
        <v>174</v>
      </c>
      <c r="C220" s="20"/>
      <c r="D220" s="70"/>
      <c r="E220" s="70">
        <f t="shared" ref="E220:K220" si="107">E221+E224+E227+E228+E229</f>
        <v>27265000</v>
      </c>
      <c r="F220" s="70">
        <f t="shared" si="107"/>
        <v>23507203</v>
      </c>
      <c r="G220" s="70">
        <f t="shared" si="107"/>
        <v>21537505</v>
      </c>
      <c r="H220" s="70">
        <f t="shared" si="107"/>
        <v>21537505</v>
      </c>
      <c r="I220" s="70">
        <f t="shared" si="107"/>
        <v>21537505</v>
      </c>
      <c r="J220" s="70">
        <f t="shared" si="107"/>
        <v>0</v>
      </c>
      <c r="K220" s="71">
        <f t="shared" si="107"/>
        <v>18841019</v>
      </c>
    </row>
    <row r="221" spans="1:11" ht="24" hidden="1">
      <c r="A221" s="156" t="s">
        <v>175</v>
      </c>
      <c r="B221" s="127" t="s">
        <v>176</v>
      </c>
      <c r="C221" s="23"/>
      <c r="D221" s="72"/>
      <c r="E221" s="72">
        <f t="shared" ref="E221:K221" si="108">E222+E223</f>
        <v>0</v>
      </c>
      <c r="F221" s="72">
        <f t="shared" si="108"/>
        <v>0</v>
      </c>
      <c r="G221" s="87">
        <f t="shared" si="108"/>
        <v>0</v>
      </c>
      <c r="H221" s="87">
        <f t="shared" si="108"/>
        <v>0</v>
      </c>
      <c r="I221" s="87">
        <f t="shared" si="108"/>
        <v>0</v>
      </c>
      <c r="J221" s="87">
        <f>J222+J223</f>
        <v>0</v>
      </c>
      <c r="K221" s="88">
        <f t="shared" si="108"/>
        <v>6919</v>
      </c>
    </row>
    <row r="222" spans="1:11" ht="24" hidden="1">
      <c r="A222" s="155" t="s">
        <v>177</v>
      </c>
      <c r="B222" s="128" t="s">
        <v>178</v>
      </c>
      <c r="C222" s="26"/>
      <c r="D222" s="74"/>
      <c r="E222" s="34"/>
      <c r="F222" s="34"/>
      <c r="G222" s="97"/>
      <c r="H222" s="97"/>
      <c r="I222" s="97"/>
      <c r="J222" s="97">
        <f>G222-I222</f>
        <v>0</v>
      </c>
      <c r="K222" s="98"/>
    </row>
    <row r="223" spans="1:11" ht="24" hidden="1">
      <c r="A223" s="155" t="s">
        <v>179</v>
      </c>
      <c r="B223" s="128" t="s">
        <v>180</v>
      </c>
      <c r="C223" s="26"/>
      <c r="D223" s="74"/>
      <c r="E223" s="99"/>
      <c r="F223" s="34"/>
      <c r="G223" s="97"/>
      <c r="H223" s="97"/>
      <c r="I223" s="97"/>
      <c r="J223" s="97">
        <f>G223-I223</f>
        <v>0</v>
      </c>
      <c r="K223" s="98">
        <f>2775+1850+2294</f>
        <v>6919</v>
      </c>
    </row>
    <row r="224" spans="1:11" ht="36">
      <c r="A224" s="156" t="s">
        <v>289</v>
      </c>
      <c r="B224" s="127" t="s">
        <v>182</v>
      </c>
      <c r="C224" s="23"/>
      <c r="D224" s="72"/>
      <c r="E224" s="72">
        <f t="shared" ref="E224:K224" si="109">E225+E226</f>
        <v>2800000</v>
      </c>
      <c r="F224" s="72">
        <f t="shared" si="109"/>
        <v>2630000</v>
      </c>
      <c r="G224" s="72">
        <f t="shared" si="109"/>
        <v>2629450</v>
      </c>
      <c r="H224" s="72">
        <f t="shared" si="109"/>
        <v>2629450</v>
      </c>
      <c r="I224" s="72">
        <f t="shared" si="109"/>
        <v>2629450</v>
      </c>
      <c r="J224" s="72">
        <f t="shared" si="109"/>
        <v>0</v>
      </c>
      <c r="K224" s="100">
        <f t="shared" si="109"/>
        <v>0</v>
      </c>
    </row>
    <row r="225" spans="1:11" ht="15">
      <c r="A225" s="155" t="s">
        <v>183</v>
      </c>
      <c r="B225" s="128" t="s">
        <v>184</v>
      </c>
      <c r="C225" s="26"/>
      <c r="D225" s="90"/>
      <c r="E225" s="79">
        <v>2800000</v>
      </c>
      <c r="F225" s="79">
        <v>2630000</v>
      </c>
      <c r="G225" s="79">
        <v>2629450</v>
      </c>
      <c r="H225" s="79">
        <f>G225</f>
        <v>2629450</v>
      </c>
      <c r="I225" s="79">
        <v>2629450</v>
      </c>
      <c r="J225" s="137">
        <f>G225-I225</f>
        <v>0</v>
      </c>
      <c r="K225" s="137">
        <v>0</v>
      </c>
    </row>
    <row r="226" spans="1:11" ht="15">
      <c r="A226" s="155" t="s">
        <v>185</v>
      </c>
      <c r="B226" s="128" t="s">
        <v>186</v>
      </c>
      <c r="C226" s="26"/>
      <c r="D226" s="90"/>
      <c r="E226" s="79"/>
      <c r="F226" s="79"/>
      <c r="G226" s="79"/>
      <c r="H226" s="79"/>
      <c r="I226" s="79"/>
      <c r="J226" s="79">
        <f>G226-I226</f>
        <v>0</v>
      </c>
      <c r="K226" s="86"/>
    </row>
    <row r="227" spans="1:11" ht="24">
      <c r="A227" s="155" t="s">
        <v>187</v>
      </c>
      <c r="B227" s="128" t="s">
        <v>188</v>
      </c>
      <c r="C227" s="26"/>
      <c r="D227" s="90"/>
      <c r="E227" s="79">
        <v>13612000</v>
      </c>
      <c r="F227" s="79">
        <v>9712000</v>
      </c>
      <c r="G227" s="79">
        <v>7931848</v>
      </c>
      <c r="H227" s="79">
        <f>G227</f>
        <v>7931848</v>
      </c>
      <c r="I227" s="79">
        <v>7931848</v>
      </c>
      <c r="J227" s="137">
        <f>G227-I227</f>
        <v>0</v>
      </c>
      <c r="K227" s="86">
        <v>7871023</v>
      </c>
    </row>
    <row r="228" spans="1:11" ht="24">
      <c r="A228" s="155" t="s">
        <v>189</v>
      </c>
      <c r="B228" s="128" t="s">
        <v>190</v>
      </c>
      <c r="C228" s="26"/>
      <c r="D228" s="90"/>
      <c r="E228" s="79"/>
      <c r="F228" s="79"/>
      <c r="G228" s="79"/>
      <c r="H228" s="79"/>
      <c r="I228" s="79"/>
      <c r="J228" s="79">
        <f>G228-I228</f>
        <v>0</v>
      </c>
      <c r="K228" s="86"/>
    </row>
    <row r="229" spans="1:11" ht="36">
      <c r="A229" s="155" t="s">
        <v>191</v>
      </c>
      <c r="B229" s="128" t="s">
        <v>192</v>
      </c>
      <c r="C229" s="26"/>
      <c r="D229" s="90"/>
      <c r="E229" s="79">
        <v>10853000</v>
      </c>
      <c r="F229" s="79">
        <f>11170322-5119</f>
        <v>11165203</v>
      </c>
      <c r="G229" s="79">
        <v>10976207</v>
      </c>
      <c r="H229" s="79">
        <f>G229</f>
        <v>10976207</v>
      </c>
      <c r="I229" s="79">
        <v>10976207</v>
      </c>
      <c r="J229" s="79">
        <f>G229-I229</f>
        <v>0</v>
      </c>
      <c r="K229" s="86">
        <v>10963077</v>
      </c>
    </row>
    <row r="230" spans="1:11" ht="24">
      <c r="A230" s="153" t="s">
        <v>193</v>
      </c>
      <c r="B230" s="126" t="s">
        <v>194</v>
      </c>
      <c r="C230" s="20"/>
      <c r="D230" s="70"/>
      <c r="E230" s="70">
        <f t="shared" ref="E230:K230" si="110">E231+E232+E235</f>
        <v>9045000</v>
      </c>
      <c r="F230" s="70">
        <f t="shared" si="110"/>
        <v>5451285</v>
      </c>
      <c r="G230" s="70">
        <f t="shared" si="110"/>
        <v>5347773</v>
      </c>
      <c r="H230" s="70">
        <f t="shared" si="110"/>
        <v>5347773</v>
      </c>
      <c r="I230" s="70">
        <f t="shared" si="110"/>
        <v>5347773</v>
      </c>
      <c r="J230" s="70">
        <f t="shared" si="110"/>
        <v>0</v>
      </c>
      <c r="K230" s="71">
        <f t="shared" si="110"/>
        <v>5541488</v>
      </c>
    </row>
    <row r="231" spans="1:11" ht="15">
      <c r="A231" s="155" t="s">
        <v>195</v>
      </c>
      <c r="B231" s="129" t="s">
        <v>196</v>
      </c>
      <c r="C231" s="38"/>
      <c r="D231" s="74"/>
      <c r="E231" s="34"/>
      <c r="F231" s="34"/>
      <c r="G231" s="34"/>
      <c r="H231" s="34"/>
      <c r="I231" s="101"/>
      <c r="J231" s="102">
        <f>G231-I231</f>
        <v>0</v>
      </c>
      <c r="K231" s="80"/>
    </row>
    <row r="232" spans="1:11" ht="36">
      <c r="A232" s="156" t="s">
        <v>290</v>
      </c>
      <c r="B232" s="127" t="s">
        <v>198</v>
      </c>
      <c r="C232" s="23"/>
      <c r="D232" s="72"/>
      <c r="E232" s="72">
        <f t="shared" ref="E232:K232" si="111">E233+E234</f>
        <v>9045000</v>
      </c>
      <c r="F232" s="72">
        <f t="shared" si="111"/>
        <v>5451285</v>
      </c>
      <c r="G232" s="72">
        <f t="shared" si="111"/>
        <v>5347773</v>
      </c>
      <c r="H232" s="72">
        <f t="shared" si="111"/>
        <v>5347773</v>
      </c>
      <c r="I232" s="72">
        <f t="shared" si="111"/>
        <v>5347773</v>
      </c>
      <c r="J232" s="72">
        <f t="shared" si="111"/>
        <v>0</v>
      </c>
      <c r="K232" s="73">
        <f t="shared" si="111"/>
        <v>5541488</v>
      </c>
    </row>
    <row r="233" spans="1:11" ht="20.100000000000001" customHeight="1">
      <c r="A233" s="155" t="s">
        <v>199</v>
      </c>
      <c r="B233" s="128" t="s">
        <v>200</v>
      </c>
      <c r="C233" s="26"/>
      <c r="D233" s="90"/>
      <c r="E233" s="79">
        <v>9045000</v>
      </c>
      <c r="F233" s="79">
        <v>5451285</v>
      </c>
      <c r="G233" s="79">
        <v>5347773</v>
      </c>
      <c r="H233" s="79">
        <f>G233</f>
        <v>5347773</v>
      </c>
      <c r="I233" s="79">
        <v>5347773</v>
      </c>
      <c r="J233" s="92">
        <f>G233-I233</f>
        <v>0</v>
      </c>
      <c r="K233" s="86">
        <v>5541488</v>
      </c>
    </row>
    <row r="234" spans="1:11" ht="24" hidden="1">
      <c r="A234" s="155" t="s">
        <v>201</v>
      </c>
      <c r="B234" s="128" t="s">
        <v>202</v>
      </c>
      <c r="C234" s="26"/>
      <c r="D234" s="74"/>
      <c r="E234" s="34"/>
      <c r="F234" s="34"/>
      <c r="G234" s="34"/>
      <c r="H234" s="59"/>
      <c r="I234" s="59"/>
      <c r="J234" s="92">
        <f>G234-I234</f>
        <v>0</v>
      </c>
      <c r="K234" s="80"/>
    </row>
    <row r="235" spans="1:11" ht="24" hidden="1">
      <c r="A235" s="155" t="s">
        <v>203</v>
      </c>
      <c r="B235" s="128" t="s">
        <v>204</v>
      </c>
      <c r="C235" s="26"/>
      <c r="D235" s="74"/>
      <c r="E235" s="34"/>
      <c r="F235" s="34"/>
      <c r="G235" s="34"/>
      <c r="H235" s="59"/>
      <c r="I235" s="34"/>
      <c r="J235" s="79">
        <f>G235-I235</f>
        <v>0</v>
      </c>
      <c r="K235" s="80"/>
    </row>
    <row r="236" spans="1:11" ht="48">
      <c r="A236" s="152" t="s">
        <v>205</v>
      </c>
      <c r="B236" s="167" t="s">
        <v>206</v>
      </c>
      <c r="C236" s="17"/>
      <c r="D236" s="68"/>
      <c r="E236" s="68">
        <f t="shared" ref="E236:K236" si="112">E237+E243+E247+E252+E260</f>
        <v>49575000</v>
      </c>
      <c r="F236" s="68">
        <f t="shared" si="112"/>
        <v>57067714</v>
      </c>
      <c r="G236" s="68">
        <f t="shared" si="112"/>
        <v>63698588</v>
      </c>
      <c r="H236" s="68">
        <f t="shared" si="112"/>
        <v>63698588</v>
      </c>
      <c r="I236" s="68">
        <f t="shared" si="112"/>
        <v>63698588</v>
      </c>
      <c r="J236" s="68">
        <f>J237+J243+J247+J252+J260</f>
        <v>0</v>
      </c>
      <c r="K236" s="85">
        <f t="shared" si="112"/>
        <v>59932327</v>
      </c>
    </row>
    <row r="237" spans="1:11" ht="36" hidden="1">
      <c r="A237" s="153" t="s">
        <v>207</v>
      </c>
      <c r="B237" s="126" t="s">
        <v>208</v>
      </c>
      <c r="C237" s="20"/>
      <c r="D237" s="70"/>
      <c r="E237" s="70">
        <f t="shared" ref="E237:K237" si="113">E238</f>
        <v>0</v>
      </c>
      <c r="F237" s="70">
        <f t="shared" si="113"/>
        <v>0</v>
      </c>
      <c r="G237" s="70">
        <f t="shared" si="113"/>
        <v>0</v>
      </c>
      <c r="H237" s="70">
        <f t="shared" si="113"/>
        <v>0</v>
      </c>
      <c r="I237" s="70">
        <f t="shared" si="113"/>
        <v>0</v>
      </c>
      <c r="J237" s="70">
        <f t="shared" si="113"/>
        <v>0</v>
      </c>
      <c r="K237" s="71">
        <f t="shared" si="113"/>
        <v>0</v>
      </c>
    </row>
    <row r="238" spans="1:11" ht="48" hidden="1">
      <c r="A238" s="156" t="s">
        <v>291</v>
      </c>
      <c r="B238" s="127" t="s">
        <v>210</v>
      </c>
      <c r="C238" s="23"/>
      <c r="D238" s="72"/>
      <c r="E238" s="72">
        <f t="shared" ref="E238:K238" si="114">E239+E240+E241+E242</f>
        <v>0</v>
      </c>
      <c r="F238" s="72">
        <f t="shared" si="114"/>
        <v>0</v>
      </c>
      <c r="G238" s="72">
        <f t="shared" si="114"/>
        <v>0</v>
      </c>
      <c r="H238" s="72">
        <f t="shared" si="114"/>
        <v>0</v>
      </c>
      <c r="I238" s="72">
        <f t="shared" si="114"/>
        <v>0</v>
      </c>
      <c r="J238" s="72">
        <f>J239+J240+J241+J242</f>
        <v>0</v>
      </c>
      <c r="K238" s="73">
        <f t="shared" si="114"/>
        <v>0</v>
      </c>
    </row>
    <row r="239" spans="1:11" ht="24" hidden="1">
      <c r="A239" s="155" t="s">
        <v>211</v>
      </c>
      <c r="B239" s="128" t="s">
        <v>212</v>
      </c>
      <c r="C239" s="26"/>
      <c r="D239" s="74"/>
      <c r="E239" s="34"/>
      <c r="F239" s="34"/>
      <c r="G239" s="34"/>
      <c r="H239" s="59"/>
      <c r="I239" s="59"/>
      <c r="J239" s="92">
        <f>G239-I239</f>
        <v>0</v>
      </c>
      <c r="K239" s="80"/>
    </row>
    <row r="240" spans="1:11" ht="24" hidden="1">
      <c r="A240" s="155" t="s">
        <v>213</v>
      </c>
      <c r="B240" s="128" t="s">
        <v>214</v>
      </c>
      <c r="C240" s="26"/>
      <c r="D240" s="74"/>
      <c r="E240" s="34"/>
      <c r="F240" s="34"/>
      <c r="G240" s="34"/>
      <c r="H240" s="59"/>
      <c r="I240" s="59"/>
      <c r="J240" s="92">
        <f>G240-I240</f>
        <v>0</v>
      </c>
      <c r="K240" s="80"/>
    </row>
    <row r="241" spans="1:11" ht="24" hidden="1">
      <c r="A241" s="155" t="s">
        <v>215</v>
      </c>
      <c r="B241" s="128" t="s">
        <v>216</v>
      </c>
      <c r="C241" s="26"/>
      <c r="D241" s="74"/>
      <c r="E241" s="34"/>
      <c r="F241" s="34"/>
      <c r="G241" s="34"/>
      <c r="H241" s="59"/>
      <c r="I241" s="59"/>
      <c r="J241" s="92">
        <f>G241-I241</f>
        <v>0</v>
      </c>
      <c r="K241" s="80"/>
    </row>
    <row r="242" spans="1:11" ht="24" hidden="1">
      <c r="A242" s="155" t="s">
        <v>217</v>
      </c>
      <c r="B242" s="128" t="s">
        <v>218</v>
      </c>
      <c r="C242" s="26"/>
      <c r="D242" s="74"/>
      <c r="E242" s="34"/>
      <c r="F242" s="34"/>
      <c r="G242" s="34"/>
      <c r="H242" s="59"/>
      <c r="I242" s="59"/>
      <c r="J242" s="92">
        <f>G242-I242</f>
        <v>0</v>
      </c>
      <c r="K242" s="80"/>
    </row>
    <row r="243" spans="1:11" ht="36" hidden="1">
      <c r="A243" s="153" t="s">
        <v>292</v>
      </c>
      <c r="B243" s="126" t="s">
        <v>220</v>
      </c>
      <c r="C243" s="20"/>
      <c r="D243" s="70"/>
      <c r="E243" s="70">
        <f t="shared" ref="E243:K243" si="115">E244+E245+E246</f>
        <v>0</v>
      </c>
      <c r="F243" s="70">
        <f t="shared" si="115"/>
        <v>0</v>
      </c>
      <c r="G243" s="70">
        <f t="shared" si="115"/>
        <v>0</v>
      </c>
      <c r="H243" s="70">
        <f t="shared" si="115"/>
        <v>0</v>
      </c>
      <c r="I243" s="70">
        <f t="shared" si="115"/>
        <v>0</v>
      </c>
      <c r="J243" s="70">
        <f t="shared" si="115"/>
        <v>0</v>
      </c>
      <c r="K243" s="71">
        <f t="shared" si="115"/>
        <v>0</v>
      </c>
    </row>
    <row r="244" spans="1:11" ht="15" hidden="1">
      <c r="A244" s="155" t="s">
        <v>221</v>
      </c>
      <c r="B244" s="129" t="s">
        <v>222</v>
      </c>
      <c r="C244" s="38"/>
      <c r="D244" s="74"/>
      <c r="E244" s="34"/>
      <c r="F244" s="34"/>
      <c r="G244" s="34"/>
      <c r="H244" s="103"/>
      <c r="I244" s="34"/>
      <c r="J244" s="79">
        <f>G244-I244</f>
        <v>0</v>
      </c>
      <c r="K244" s="80"/>
    </row>
    <row r="245" spans="1:11" ht="15" hidden="1">
      <c r="A245" s="155" t="s">
        <v>223</v>
      </c>
      <c r="B245" s="128" t="s">
        <v>224</v>
      </c>
      <c r="C245" s="26"/>
      <c r="D245" s="74"/>
      <c r="E245" s="34"/>
      <c r="F245" s="34"/>
      <c r="G245" s="34"/>
      <c r="H245" s="103"/>
      <c r="I245" s="34"/>
      <c r="J245" s="79">
        <f>G245-I245</f>
        <v>0</v>
      </c>
      <c r="K245" s="80"/>
    </row>
    <row r="246" spans="1:11" ht="24" hidden="1">
      <c r="A246" s="155" t="s">
        <v>225</v>
      </c>
      <c r="B246" s="128" t="s">
        <v>226</v>
      </c>
      <c r="C246" s="26"/>
      <c r="D246" s="74"/>
      <c r="E246" s="34"/>
      <c r="F246" s="34"/>
      <c r="G246" s="34"/>
      <c r="H246" s="103"/>
      <c r="I246" s="34"/>
      <c r="J246" s="79">
        <f>G246-I246</f>
        <v>0</v>
      </c>
      <c r="K246" s="80"/>
    </row>
    <row r="247" spans="1:11" ht="36">
      <c r="A247" s="153" t="s">
        <v>293</v>
      </c>
      <c r="B247" s="126" t="s">
        <v>228</v>
      </c>
      <c r="C247" s="20"/>
      <c r="D247" s="70"/>
      <c r="E247" s="70">
        <f t="shared" ref="E247:K247" si="116">E248</f>
        <v>1050000</v>
      </c>
      <c r="F247" s="70">
        <f t="shared" si="116"/>
        <v>1285600</v>
      </c>
      <c r="G247" s="70">
        <f t="shared" si="116"/>
        <v>1196528</v>
      </c>
      <c r="H247" s="70">
        <f t="shared" si="116"/>
        <v>1196528</v>
      </c>
      <c r="I247" s="70">
        <f t="shared" si="116"/>
        <v>1196528</v>
      </c>
      <c r="J247" s="70">
        <f t="shared" si="116"/>
        <v>0</v>
      </c>
      <c r="K247" s="71">
        <f t="shared" si="116"/>
        <v>1196528</v>
      </c>
    </row>
    <row r="248" spans="1:11" ht="36">
      <c r="A248" s="156" t="s">
        <v>229</v>
      </c>
      <c r="B248" s="127" t="s">
        <v>230</v>
      </c>
      <c r="C248" s="23"/>
      <c r="D248" s="72"/>
      <c r="E248" s="72">
        <f t="shared" ref="E248:K248" si="117">E249+E250+E251</f>
        <v>1050000</v>
      </c>
      <c r="F248" s="72">
        <f t="shared" si="117"/>
        <v>1285600</v>
      </c>
      <c r="G248" s="72">
        <f t="shared" si="117"/>
        <v>1196528</v>
      </c>
      <c r="H248" s="72">
        <f t="shared" si="117"/>
        <v>1196528</v>
      </c>
      <c r="I248" s="72">
        <f t="shared" si="117"/>
        <v>1196528</v>
      </c>
      <c r="J248" s="72">
        <f>J249+J250+J251</f>
        <v>0</v>
      </c>
      <c r="K248" s="73">
        <f t="shared" si="117"/>
        <v>1196528</v>
      </c>
    </row>
    <row r="249" spans="1:11" ht="24" hidden="1">
      <c r="A249" s="155" t="s">
        <v>231</v>
      </c>
      <c r="B249" s="129" t="s">
        <v>232</v>
      </c>
      <c r="C249" s="38"/>
      <c r="D249" s="74"/>
      <c r="E249" s="79"/>
      <c r="F249" s="79"/>
      <c r="G249" s="79"/>
      <c r="H249" s="79"/>
      <c r="I249" s="79"/>
      <c r="J249" s="137"/>
      <c r="K249" s="86"/>
    </row>
    <row r="250" spans="1:11" ht="15" hidden="1">
      <c r="A250" s="155" t="s">
        <v>233</v>
      </c>
      <c r="B250" s="129" t="s">
        <v>234</v>
      </c>
      <c r="C250" s="38"/>
      <c r="D250" s="74"/>
      <c r="E250" s="34"/>
      <c r="F250" s="34"/>
      <c r="G250" s="34"/>
      <c r="H250" s="79"/>
      <c r="I250" s="34"/>
      <c r="J250" s="79"/>
      <c r="K250" s="80"/>
    </row>
    <row r="251" spans="1:11" ht="24">
      <c r="A251" s="155" t="s">
        <v>235</v>
      </c>
      <c r="B251" s="128" t="s">
        <v>236</v>
      </c>
      <c r="C251" s="26"/>
      <c r="D251" s="90"/>
      <c r="E251" s="79">
        <v>1050000</v>
      </c>
      <c r="F251" s="79">
        <v>1285600</v>
      </c>
      <c r="G251" s="79">
        <v>1196528</v>
      </c>
      <c r="H251" s="79">
        <f>G251</f>
        <v>1196528</v>
      </c>
      <c r="I251" s="79">
        <v>1196528</v>
      </c>
      <c r="J251" s="79">
        <f>G251-I251</f>
        <v>0</v>
      </c>
      <c r="K251" s="86">
        <v>1196528</v>
      </c>
    </row>
    <row r="252" spans="1:11" ht="24">
      <c r="A252" s="153" t="s">
        <v>237</v>
      </c>
      <c r="B252" s="126" t="s">
        <v>238</v>
      </c>
      <c r="C252" s="20"/>
      <c r="D252" s="70"/>
      <c r="E252" s="70">
        <f t="shared" ref="E252:K252" si="118">E253+E257+E259</f>
        <v>48525000</v>
      </c>
      <c r="F252" s="70">
        <f t="shared" si="118"/>
        <v>55782114</v>
      </c>
      <c r="G252" s="70">
        <f t="shared" si="118"/>
        <v>62502060</v>
      </c>
      <c r="H252" s="70">
        <f t="shared" si="118"/>
        <v>62502060</v>
      </c>
      <c r="I252" s="70">
        <f t="shared" si="118"/>
        <v>62502060</v>
      </c>
      <c r="J252" s="70">
        <f>J253+J257+J259</f>
        <v>0</v>
      </c>
      <c r="K252" s="78">
        <f t="shared" si="118"/>
        <v>58735799</v>
      </c>
    </row>
    <row r="253" spans="1:11" ht="36">
      <c r="A253" s="154" t="s">
        <v>294</v>
      </c>
      <c r="B253" s="127" t="s">
        <v>240</v>
      </c>
      <c r="C253" s="23"/>
      <c r="D253" s="72"/>
      <c r="E253" s="72">
        <f t="shared" ref="E253:K253" si="119">E254+E255+E256</f>
        <v>48525000</v>
      </c>
      <c r="F253" s="72">
        <f t="shared" si="119"/>
        <v>55782114</v>
      </c>
      <c r="G253" s="72">
        <f t="shared" si="119"/>
        <v>62502060</v>
      </c>
      <c r="H253" s="72">
        <f t="shared" si="119"/>
        <v>62502060</v>
      </c>
      <c r="I253" s="72">
        <f t="shared" si="119"/>
        <v>62502060</v>
      </c>
      <c r="J253" s="72">
        <f>J254+J255+J256</f>
        <v>0</v>
      </c>
      <c r="K253" s="88">
        <f t="shared" si="119"/>
        <v>58735799</v>
      </c>
    </row>
    <row r="254" spans="1:11" ht="15">
      <c r="A254" s="155" t="s">
        <v>241</v>
      </c>
      <c r="B254" s="128" t="s">
        <v>242</v>
      </c>
      <c r="C254" s="26"/>
      <c r="D254" s="74"/>
      <c r="E254" s="34"/>
      <c r="F254" s="91"/>
      <c r="G254" s="34"/>
      <c r="H254" s="74"/>
      <c r="I254" s="34"/>
      <c r="J254" s="79">
        <f>G254-I254</f>
        <v>0</v>
      </c>
      <c r="K254" s="98"/>
    </row>
    <row r="255" spans="1:11" ht="20.100000000000001" customHeight="1">
      <c r="A255" s="155" t="s">
        <v>243</v>
      </c>
      <c r="B255" s="128" t="s">
        <v>244</v>
      </c>
      <c r="C255" s="26"/>
      <c r="D255" s="90"/>
      <c r="E255" s="79">
        <v>20825000</v>
      </c>
      <c r="F255" s="79">
        <v>16082114</v>
      </c>
      <c r="G255" s="79">
        <v>22813000</v>
      </c>
      <c r="H255" s="79">
        <f>G255</f>
        <v>22813000</v>
      </c>
      <c r="I255" s="79">
        <v>22813000</v>
      </c>
      <c r="J255" s="137">
        <f>G255-I255</f>
        <v>0</v>
      </c>
      <c r="K255" s="86">
        <v>22850118</v>
      </c>
    </row>
    <row r="256" spans="1:11" ht="20.100000000000001" customHeight="1" thickBot="1">
      <c r="A256" s="155" t="s">
        <v>245</v>
      </c>
      <c r="B256" s="128" t="s">
        <v>246</v>
      </c>
      <c r="C256" s="26"/>
      <c r="D256" s="74"/>
      <c r="E256" s="79">
        <v>27700000</v>
      </c>
      <c r="F256" s="79">
        <v>39700000</v>
      </c>
      <c r="G256" s="79">
        <v>39689060</v>
      </c>
      <c r="H256" s="79">
        <f>G256</f>
        <v>39689060</v>
      </c>
      <c r="I256" s="79">
        <v>39689060</v>
      </c>
      <c r="J256" s="137">
        <f>G256-I256</f>
        <v>0</v>
      </c>
      <c r="K256" s="86">
        <v>35885681</v>
      </c>
    </row>
    <row r="257" spans="1:11" ht="24" hidden="1">
      <c r="A257" s="156" t="s">
        <v>247</v>
      </c>
      <c r="B257" s="127" t="s">
        <v>248</v>
      </c>
      <c r="C257" s="23"/>
      <c r="D257" s="72">
        <f>D258</f>
        <v>0</v>
      </c>
      <c r="E257" s="72">
        <f t="shared" ref="E257:K257" si="120">E258</f>
        <v>0</v>
      </c>
      <c r="F257" s="72">
        <f t="shared" si="120"/>
        <v>0</v>
      </c>
      <c r="G257" s="72">
        <f t="shared" si="120"/>
        <v>0</v>
      </c>
      <c r="H257" s="72">
        <f t="shared" si="120"/>
        <v>0</v>
      </c>
      <c r="I257" s="72">
        <f t="shared" si="120"/>
        <v>0</v>
      </c>
      <c r="J257" s="72">
        <f t="shared" si="120"/>
        <v>0</v>
      </c>
      <c r="K257" s="73">
        <f t="shared" si="120"/>
        <v>0</v>
      </c>
    </row>
    <row r="258" spans="1:11" ht="15" hidden="1">
      <c r="A258" s="155" t="s">
        <v>249</v>
      </c>
      <c r="B258" s="128" t="s">
        <v>250</v>
      </c>
      <c r="C258" s="26"/>
      <c r="D258" s="74"/>
      <c r="E258" s="34"/>
      <c r="F258" s="34"/>
      <c r="G258" s="34"/>
      <c r="H258" s="74">
        <f>G258</f>
        <v>0</v>
      </c>
      <c r="I258" s="34"/>
      <c r="J258" s="79">
        <f>G258-I258</f>
        <v>0</v>
      </c>
      <c r="K258" s="80"/>
    </row>
    <row r="259" spans="1:11" ht="24" hidden="1">
      <c r="A259" s="155" t="s">
        <v>251</v>
      </c>
      <c r="B259" s="128" t="s">
        <v>252</v>
      </c>
      <c r="C259" s="26"/>
      <c r="D259" s="74"/>
      <c r="E259" s="34"/>
      <c r="F259" s="34"/>
      <c r="G259" s="34"/>
      <c r="H259" s="74">
        <f>G259</f>
        <v>0</v>
      </c>
      <c r="I259" s="34"/>
      <c r="J259" s="79">
        <f>G259-I259</f>
        <v>0</v>
      </c>
      <c r="K259" s="104"/>
    </row>
    <row r="260" spans="1:11" ht="36" hidden="1">
      <c r="A260" s="153" t="s">
        <v>295</v>
      </c>
      <c r="B260" s="126" t="s">
        <v>254</v>
      </c>
      <c r="C260" s="20"/>
      <c r="D260" s="70">
        <f>D261+D262+D263+D264+D265</f>
        <v>0</v>
      </c>
      <c r="E260" s="70">
        <f t="shared" ref="E260:K260" si="121">E261+E262+E263+E264+E265</f>
        <v>0</v>
      </c>
      <c r="F260" s="70">
        <f t="shared" si="121"/>
        <v>0</v>
      </c>
      <c r="G260" s="70">
        <f t="shared" si="121"/>
        <v>0</v>
      </c>
      <c r="H260" s="70">
        <f t="shared" si="121"/>
        <v>0</v>
      </c>
      <c r="I260" s="70">
        <f t="shared" si="121"/>
        <v>0</v>
      </c>
      <c r="J260" s="70">
        <f t="shared" si="121"/>
        <v>0</v>
      </c>
      <c r="K260" s="71">
        <f t="shared" si="121"/>
        <v>0</v>
      </c>
    </row>
    <row r="261" spans="1:11" ht="24" hidden="1">
      <c r="A261" s="155" t="s">
        <v>255</v>
      </c>
      <c r="B261" s="128" t="s">
        <v>256</v>
      </c>
      <c r="C261" s="26"/>
      <c r="D261" s="74"/>
      <c r="E261" s="34"/>
      <c r="F261" s="91"/>
      <c r="G261" s="34"/>
      <c r="H261" s="74">
        <f>G261</f>
        <v>0</v>
      </c>
      <c r="I261" s="34"/>
      <c r="J261" s="79">
        <f>G261-I261</f>
        <v>0</v>
      </c>
      <c r="K261" s="80"/>
    </row>
    <row r="262" spans="1:11" ht="15" hidden="1">
      <c r="A262" s="155" t="s">
        <v>257</v>
      </c>
      <c r="B262" s="128" t="s">
        <v>258</v>
      </c>
      <c r="C262" s="26"/>
      <c r="D262" s="74"/>
      <c r="E262" s="34"/>
      <c r="F262" s="91"/>
      <c r="G262" s="34"/>
      <c r="H262" s="74">
        <f>G262</f>
        <v>0</v>
      </c>
      <c r="I262" s="34"/>
      <c r="J262" s="79">
        <f>G262-I262</f>
        <v>0</v>
      </c>
      <c r="K262" s="80"/>
    </row>
    <row r="263" spans="1:11" ht="15" hidden="1">
      <c r="A263" s="155" t="s">
        <v>259</v>
      </c>
      <c r="B263" s="128" t="s">
        <v>260</v>
      </c>
      <c r="C263" s="26"/>
      <c r="D263" s="74"/>
      <c r="E263" s="34"/>
      <c r="F263" s="91"/>
      <c r="G263" s="34"/>
      <c r="H263" s="74">
        <f>G263</f>
        <v>0</v>
      </c>
      <c r="I263" s="34"/>
      <c r="J263" s="79">
        <f>G263-I263</f>
        <v>0</v>
      </c>
      <c r="K263" s="80"/>
    </row>
    <row r="264" spans="1:11" ht="24" hidden="1">
      <c r="A264" s="155" t="s">
        <v>296</v>
      </c>
      <c r="B264" s="128" t="s">
        <v>262</v>
      </c>
      <c r="C264" s="26"/>
      <c r="D264" s="74"/>
      <c r="E264" s="34"/>
      <c r="F264" s="34"/>
      <c r="G264" s="34"/>
      <c r="H264" s="74">
        <f>G264</f>
        <v>0</v>
      </c>
      <c r="I264" s="34"/>
      <c r="J264" s="79">
        <f>G264-I264</f>
        <v>0</v>
      </c>
      <c r="K264" s="80"/>
    </row>
    <row r="265" spans="1:11" ht="15" hidden="1">
      <c r="A265" s="155" t="s">
        <v>263</v>
      </c>
      <c r="B265" s="128" t="s">
        <v>264</v>
      </c>
      <c r="C265" s="26"/>
      <c r="D265" s="74"/>
      <c r="E265" s="79"/>
      <c r="F265" s="105"/>
      <c r="G265" s="79"/>
      <c r="H265" s="74">
        <f>G265</f>
        <v>0</v>
      </c>
      <c r="I265" s="79"/>
      <c r="J265" s="79">
        <f>G265-I265</f>
        <v>0</v>
      </c>
      <c r="K265" s="86"/>
    </row>
    <row r="266" spans="1:11" ht="24" hidden="1">
      <c r="A266" s="152" t="s">
        <v>297</v>
      </c>
      <c r="B266" s="167" t="s">
        <v>266</v>
      </c>
      <c r="C266" s="17"/>
      <c r="D266" s="68"/>
      <c r="E266" s="106"/>
      <c r="F266" s="106"/>
      <c r="G266" s="106"/>
      <c r="H266" s="68"/>
      <c r="I266" s="106"/>
      <c r="J266" s="107"/>
      <c r="K266" s="108"/>
    </row>
    <row r="267" spans="1:11" ht="15" hidden="1">
      <c r="A267" s="159" t="s">
        <v>298</v>
      </c>
      <c r="B267" s="170" t="s">
        <v>268</v>
      </c>
      <c r="C267" s="56"/>
      <c r="D267" s="59"/>
      <c r="E267" s="59"/>
      <c r="F267" s="59"/>
      <c r="G267" s="59"/>
      <c r="H267" s="74"/>
      <c r="I267" s="34"/>
      <c r="J267" s="36"/>
      <c r="K267" s="80"/>
    </row>
    <row r="268" spans="1:11" ht="15.75" hidden="1" thickBot="1">
      <c r="A268" s="162" t="s">
        <v>328</v>
      </c>
      <c r="B268" s="174" t="s">
        <v>269</v>
      </c>
      <c r="C268" s="109"/>
      <c r="D268" s="110"/>
      <c r="E268" s="110"/>
      <c r="F268" s="110"/>
      <c r="G268" s="110"/>
      <c r="H268" s="111"/>
      <c r="I268" s="112"/>
      <c r="J268" s="113"/>
      <c r="K268" s="114"/>
    </row>
    <row r="269" spans="1:11" ht="60.75" thickBot="1">
      <c r="A269" s="163" t="s">
        <v>299</v>
      </c>
      <c r="B269" s="175" t="s">
        <v>15</v>
      </c>
      <c r="C269" s="116">
        <f t="shared" ref="C269:K269" si="122">C270+C280+C288+C341+C358+C388</f>
        <v>210733039</v>
      </c>
      <c r="D269" s="116">
        <f t="shared" si="122"/>
        <v>169108212</v>
      </c>
      <c r="E269" s="116">
        <f t="shared" si="122"/>
        <v>225995312</v>
      </c>
      <c r="F269" s="116">
        <f t="shared" si="122"/>
        <v>169566759</v>
      </c>
      <c r="G269" s="116">
        <f t="shared" si="122"/>
        <v>127104496</v>
      </c>
      <c r="H269" s="116">
        <f t="shared" si="122"/>
        <v>127104496</v>
      </c>
      <c r="I269" s="116">
        <f t="shared" si="122"/>
        <v>127104496</v>
      </c>
      <c r="J269" s="115">
        <f t="shared" si="122"/>
        <v>0</v>
      </c>
      <c r="K269" s="117">
        <f t="shared" si="122"/>
        <v>62604133</v>
      </c>
    </row>
    <row r="270" spans="1:11" ht="36">
      <c r="A270" s="161" t="s">
        <v>300</v>
      </c>
      <c r="B270" s="167" t="s">
        <v>17</v>
      </c>
      <c r="C270" s="68">
        <f t="shared" ref="C270:K270" si="123">C271+C274</f>
        <v>2450000</v>
      </c>
      <c r="D270" s="68">
        <f t="shared" si="123"/>
        <v>1865000</v>
      </c>
      <c r="E270" s="68">
        <f t="shared" si="123"/>
        <v>2450000</v>
      </c>
      <c r="F270" s="68">
        <f t="shared" si="123"/>
        <v>1865000</v>
      </c>
      <c r="G270" s="68">
        <f t="shared" si="123"/>
        <v>1624405</v>
      </c>
      <c r="H270" s="68">
        <f t="shared" si="123"/>
        <v>1624405</v>
      </c>
      <c r="I270" s="68">
        <f t="shared" si="123"/>
        <v>1624405</v>
      </c>
      <c r="J270" s="68">
        <f t="shared" si="123"/>
        <v>0</v>
      </c>
      <c r="K270" s="85">
        <f t="shared" si="123"/>
        <v>1541804</v>
      </c>
    </row>
    <row r="271" spans="1:11" ht="24">
      <c r="A271" s="153" t="s">
        <v>271</v>
      </c>
      <c r="B271" s="126" t="s">
        <v>19</v>
      </c>
      <c r="C271" s="70">
        <f t="shared" ref="C271:K272" si="124">C272</f>
        <v>2450000</v>
      </c>
      <c r="D271" s="70">
        <f t="shared" si="124"/>
        <v>1865000</v>
      </c>
      <c r="E271" s="70">
        <f t="shared" si="124"/>
        <v>2450000</v>
      </c>
      <c r="F271" s="70">
        <f t="shared" si="124"/>
        <v>1865000</v>
      </c>
      <c r="G271" s="70">
        <f t="shared" si="124"/>
        <v>1624405</v>
      </c>
      <c r="H271" s="70">
        <f t="shared" si="124"/>
        <v>1624405</v>
      </c>
      <c r="I271" s="70">
        <f t="shared" si="124"/>
        <v>1624405</v>
      </c>
      <c r="J271" s="70">
        <f t="shared" si="124"/>
        <v>0</v>
      </c>
      <c r="K271" s="96">
        <f t="shared" si="124"/>
        <v>1539125</v>
      </c>
    </row>
    <row r="272" spans="1:11" ht="24">
      <c r="A272" s="156" t="s">
        <v>272</v>
      </c>
      <c r="B272" s="127" t="s">
        <v>21</v>
      </c>
      <c r="C272" s="72">
        <f t="shared" si="124"/>
        <v>2450000</v>
      </c>
      <c r="D272" s="72">
        <f t="shared" si="124"/>
        <v>1865000</v>
      </c>
      <c r="E272" s="72">
        <f t="shared" si="124"/>
        <v>2450000</v>
      </c>
      <c r="F272" s="72">
        <f t="shared" si="124"/>
        <v>1865000</v>
      </c>
      <c r="G272" s="72">
        <f t="shared" si="124"/>
        <v>1624405</v>
      </c>
      <c r="H272" s="72">
        <f t="shared" si="124"/>
        <v>1624405</v>
      </c>
      <c r="I272" s="72">
        <f t="shared" si="124"/>
        <v>1624405</v>
      </c>
      <c r="J272" s="72">
        <f t="shared" si="124"/>
        <v>0</v>
      </c>
      <c r="K272" s="100">
        <f t="shared" si="124"/>
        <v>1539125</v>
      </c>
    </row>
    <row r="273" spans="1:11" ht="20.100000000000001" customHeight="1">
      <c r="A273" s="155" t="s">
        <v>22</v>
      </c>
      <c r="B273" s="128" t="s">
        <v>23</v>
      </c>
      <c r="C273" s="181">
        <f>E273</f>
        <v>2450000</v>
      </c>
      <c r="D273" s="90">
        <f>F273</f>
        <v>1865000</v>
      </c>
      <c r="E273" s="79">
        <f>1530000+920000</f>
        <v>2450000</v>
      </c>
      <c r="F273" s="79">
        <f>945000+920000</f>
        <v>1865000</v>
      </c>
      <c r="G273" s="79">
        <f>719389+905016</f>
        <v>1624405</v>
      </c>
      <c r="H273" s="79">
        <f>G273</f>
        <v>1624405</v>
      </c>
      <c r="I273" s="79">
        <f>719389+905016</f>
        <v>1624405</v>
      </c>
      <c r="J273" s="137"/>
      <c r="K273" s="86">
        <f>491213+108063+939849</f>
        <v>1539125</v>
      </c>
    </row>
    <row r="274" spans="1:11" ht="36" hidden="1">
      <c r="A274" s="153" t="s">
        <v>24</v>
      </c>
      <c r="B274" s="126" t="s">
        <v>25</v>
      </c>
      <c r="C274" s="119">
        <f>D274</f>
        <v>0</v>
      </c>
      <c r="D274" s="70">
        <f>D275+D276+D277+D278+D279</f>
        <v>0</v>
      </c>
      <c r="E274" s="70">
        <f t="shared" ref="E274:K274" si="125">E275+E276+E277+E278+E279</f>
        <v>0</v>
      </c>
      <c r="F274" s="70">
        <f t="shared" si="125"/>
        <v>0</v>
      </c>
      <c r="G274" s="70">
        <f t="shared" si="125"/>
        <v>0</v>
      </c>
      <c r="H274" s="70">
        <f t="shared" si="125"/>
        <v>0</v>
      </c>
      <c r="I274" s="70">
        <f t="shared" si="125"/>
        <v>0</v>
      </c>
      <c r="J274" s="70">
        <f t="shared" si="125"/>
        <v>0</v>
      </c>
      <c r="K274" s="71">
        <f t="shared" si="125"/>
        <v>2679</v>
      </c>
    </row>
    <row r="275" spans="1:11" ht="24" hidden="1">
      <c r="A275" s="155" t="s">
        <v>275</v>
      </c>
      <c r="B275" s="128" t="s">
        <v>27</v>
      </c>
      <c r="C275" s="26"/>
      <c r="D275" s="90"/>
      <c r="E275" s="79"/>
      <c r="F275" s="79"/>
      <c r="G275" s="79"/>
      <c r="H275" s="79"/>
      <c r="I275" s="79"/>
      <c r="J275" s="79">
        <f>G275-I275</f>
        <v>0</v>
      </c>
      <c r="K275" s="86"/>
    </row>
    <row r="276" spans="1:11" ht="36" hidden="1">
      <c r="A276" s="155" t="s">
        <v>28</v>
      </c>
      <c r="B276" s="128" t="s">
        <v>29</v>
      </c>
      <c r="C276" s="26"/>
      <c r="D276" s="90"/>
      <c r="E276" s="79"/>
      <c r="F276" s="79"/>
      <c r="G276" s="79"/>
      <c r="H276" s="79"/>
      <c r="I276" s="79"/>
      <c r="J276" s="79">
        <f>G276-I276</f>
        <v>0</v>
      </c>
      <c r="K276" s="86"/>
    </row>
    <row r="277" spans="1:11" ht="48" hidden="1">
      <c r="A277" s="155" t="s">
        <v>30</v>
      </c>
      <c r="B277" s="128" t="s">
        <v>31</v>
      </c>
      <c r="C277" s="118">
        <f>D277</f>
        <v>0</v>
      </c>
      <c r="D277" s="90"/>
      <c r="E277" s="79"/>
      <c r="F277" s="79"/>
      <c r="G277" s="79"/>
      <c r="H277" s="79"/>
      <c r="I277" s="79"/>
      <c r="J277" s="79">
        <f>G277-I277</f>
        <v>0</v>
      </c>
      <c r="K277" s="86"/>
    </row>
    <row r="278" spans="1:11" ht="24">
      <c r="A278" s="155" t="s">
        <v>32</v>
      </c>
      <c r="B278" s="128" t="s">
        <v>33</v>
      </c>
      <c r="C278" s="118"/>
      <c r="D278" s="90"/>
      <c r="E278" s="79"/>
      <c r="F278" s="79"/>
      <c r="G278" s="79"/>
      <c r="H278" s="79"/>
      <c r="I278" s="79">
        <f>G278</f>
        <v>0</v>
      </c>
      <c r="J278" s="137">
        <f>G278-I278</f>
        <v>0</v>
      </c>
      <c r="K278" s="86">
        <v>2679</v>
      </c>
    </row>
    <row r="279" spans="1:11" ht="15">
      <c r="A279" s="155" t="s">
        <v>34</v>
      </c>
      <c r="B279" s="128" t="s">
        <v>35</v>
      </c>
      <c r="C279" s="118"/>
      <c r="D279" s="90"/>
      <c r="E279" s="79"/>
      <c r="F279" s="79"/>
      <c r="G279" s="79"/>
      <c r="H279" s="79"/>
      <c r="I279" s="79"/>
      <c r="J279" s="79">
        <f>G279-I279</f>
        <v>0</v>
      </c>
      <c r="K279" s="86"/>
    </row>
    <row r="280" spans="1:11" ht="36">
      <c r="A280" s="152" t="s">
        <v>47</v>
      </c>
      <c r="B280" s="167" t="s">
        <v>48</v>
      </c>
      <c r="C280" s="17"/>
      <c r="D280" s="68">
        <f>D281+D283</f>
        <v>853200</v>
      </c>
      <c r="E280" s="68">
        <f t="shared" ref="E280:K280" si="126">E281+E283</f>
        <v>573200</v>
      </c>
      <c r="F280" s="68">
        <f t="shared" si="126"/>
        <v>853200</v>
      </c>
      <c r="G280" s="68">
        <f t="shared" si="126"/>
        <v>548990</v>
      </c>
      <c r="H280" s="68">
        <f t="shared" si="126"/>
        <v>548990</v>
      </c>
      <c r="I280" s="68">
        <f t="shared" si="126"/>
        <v>548990</v>
      </c>
      <c r="J280" s="68">
        <f>J281+J283</f>
        <v>0</v>
      </c>
      <c r="K280" s="85">
        <f t="shared" si="126"/>
        <v>136233</v>
      </c>
    </row>
    <row r="281" spans="1:11" ht="15.75" hidden="1">
      <c r="A281" s="153" t="s">
        <v>49</v>
      </c>
      <c r="B281" s="126" t="s">
        <v>50</v>
      </c>
      <c r="C281" s="20"/>
      <c r="D281" s="70">
        <f>D282</f>
        <v>0</v>
      </c>
      <c r="E281" s="70">
        <f t="shared" ref="E281:K281" si="127">E282</f>
        <v>0</v>
      </c>
      <c r="F281" s="70">
        <f t="shared" si="127"/>
        <v>0</v>
      </c>
      <c r="G281" s="70">
        <f t="shared" si="127"/>
        <v>0</v>
      </c>
      <c r="H281" s="70">
        <f t="shared" si="127"/>
        <v>0</v>
      </c>
      <c r="I281" s="70">
        <f t="shared" si="127"/>
        <v>0</v>
      </c>
      <c r="J281" s="70">
        <f t="shared" si="127"/>
        <v>0</v>
      </c>
      <c r="K281" s="71">
        <f t="shared" si="127"/>
        <v>0</v>
      </c>
    </row>
    <row r="282" spans="1:11" ht="15" hidden="1">
      <c r="A282" s="155" t="s">
        <v>276</v>
      </c>
      <c r="B282" s="128" t="s">
        <v>52</v>
      </c>
      <c r="C282" s="26"/>
      <c r="D282" s="90"/>
      <c r="E282" s="79"/>
      <c r="F282" s="79"/>
      <c r="G282" s="79"/>
      <c r="H282" s="79"/>
      <c r="I282" s="79"/>
      <c r="J282" s="79">
        <f>G282-I282</f>
        <v>0</v>
      </c>
      <c r="K282" s="86"/>
    </row>
    <row r="283" spans="1:11" ht="48">
      <c r="A283" s="153" t="s">
        <v>301</v>
      </c>
      <c r="B283" s="126" t="s">
        <v>54</v>
      </c>
      <c r="C283" s="70">
        <f>C284</f>
        <v>573200</v>
      </c>
      <c r="D283" s="70">
        <f>D284</f>
        <v>853200</v>
      </c>
      <c r="E283" s="70">
        <f>E284</f>
        <v>573200</v>
      </c>
      <c r="F283" s="70">
        <f t="shared" ref="F283:K283" si="128">F284</f>
        <v>853200</v>
      </c>
      <c r="G283" s="70">
        <f t="shared" si="128"/>
        <v>548990</v>
      </c>
      <c r="H283" s="70">
        <f t="shared" si="128"/>
        <v>548990</v>
      </c>
      <c r="I283" s="70">
        <f t="shared" si="128"/>
        <v>548990</v>
      </c>
      <c r="J283" s="70">
        <f t="shared" si="128"/>
        <v>0</v>
      </c>
      <c r="K283" s="70">
        <f t="shared" si="128"/>
        <v>136233</v>
      </c>
    </row>
    <row r="284" spans="1:11" ht="20.100000000000001" customHeight="1">
      <c r="A284" s="156" t="s">
        <v>55</v>
      </c>
      <c r="B284" s="127" t="s">
        <v>56</v>
      </c>
      <c r="C284" s="72">
        <f>C285+C286+C287</f>
        <v>573200</v>
      </c>
      <c r="D284" s="72">
        <f>D285+D286+D287</f>
        <v>853200</v>
      </c>
      <c r="E284" s="72">
        <f>E285+E286+E287</f>
        <v>573200</v>
      </c>
      <c r="F284" s="72">
        <f t="shared" ref="F284:K284" si="129">F285+F286+F287</f>
        <v>853200</v>
      </c>
      <c r="G284" s="72">
        <f t="shared" si="129"/>
        <v>548990</v>
      </c>
      <c r="H284" s="72">
        <f t="shared" si="129"/>
        <v>548990</v>
      </c>
      <c r="I284" s="72">
        <f t="shared" si="129"/>
        <v>548990</v>
      </c>
      <c r="J284" s="72">
        <f t="shared" si="129"/>
        <v>0</v>
      </c>
      <c r="K284" s="72">
        <f t="shared" si="129"/>
        <v>136233</v>
      </c>
    </row>
    <row r="285" spans="1:11" ht="20.100000000000001" customHeight="1">
      <c r="A285" s="155" t="s">
        <v>57</v>
      </c>
      <c r="B285" s="128" t="s">
        <v>58</v>
      </c>
      <c r="C285" s="90">
        <f t="shared" ref="C285:D287" si="130">E285</f>
        <v>340200</v>
      </c>
      <c r="D285" s="90">
        <f t="shared" si="130"/>
        <v>442200</v>
      </c>
      <c r="E285" s="79">
        <v>340200</v>
      </c>
      <c r="F285" s="79">
        <v>442200</v>
      </c>
      <c r="G285" s="79">
        <v>347467</v>
      </c>
      <c r="H285" s="79">
        <f>G285</f>
        <v>347467</v>
      </c>
      <c r="I285" s="79">
        <f>G285</f>
        <v>347467</v>
      </c>
      <c r="J285" s="137">
        <f>G285-I285</f>
        <v>0</v>
      </c>
      <c r="K285" s="86">
        <v>0</v>
      </c>
    </row>
    <row r="286" spans="1:11" ht="36">
      <c r="A286" s="155" t="s">
        <v>59</v>
      </c>
      <c r="B286" s="128" t="s">
        <v>60</v>
      </c>
      <c r="C286" s="118"/>
      <c r="D286" s="90">
        <f t="shared" si="130"/>
        <v>18000</v>
      </c>
      <c r="E286" s="79">
        <v>0</v>
      </c>
      <c r="F286" s="79">
        <v>18000</v>
      </c>
      <c r="G286" s="79">
        <v>17993</v>
      </c>
      <c r="H286" s="79">
        <f>G286</f>
        <v>17993</v>
      </c>
      <c r="I286" s="79">
        <f>G286</f>
        <v>17993</v>
      </c>
      <c r="J286" s="137">
        <f>G286-I286</f>
        <v>0</v>
      </c>
      <c r="K286" s="86">
        <v>48568</v>
      </c>
    </row>
    <row r="287" spans="1:11" ht="24">
      <c r="A287" s="155" t="s">
        <v>61</v>
      </c>
      <c r="B287" s="128" t="s">
        <v>62</v>
      </c>
      <c r="C287" s="181">
        <f t="shared" si="130"/>
        <v>233000</v>
      </c>
      <c r="D287" s="79">
        <f t="shared" si="130"/>
        <v>393000</v>
      </c>
      <c r="E287" s="79">
        <v>233000</v>
      </c>
      <c r="F287" s="79">
        <f>233000+160000</f>
        <v>393000</v>
      </c>
      <c r="G287" s="79">
        <v>183530</v>
      </c>
      <c r="H287" s="79">
        <f>G287</f>
        <v>183530</v>
      </c>
      <c r="I287" s="79">
        <v>183530</v>
      </c>
      <c r="J287" s="79">
        <f>G287-I287</f>
        <v>0</v>
      </c>
      <c r="K287" s="79">
        <f>86974+691</f>
        <v>87665</v>
      </c>
    </row>
    <row r="288" spans="1:11" ht="36">
      <c r="A288" s="152" t="s">
        <v>302</v>
      </c>
      <c r="B288" s="167" t="s">
        <v>64</v>
      </c>
      <c r="C288" s="68">
        <f t="shared" ref="C288:K288" si="131">C289+C305+C312+C329</f>
        <v>35523055</v>
      </c>
      <c r="D288" s="68">
        <f t="shared" si="131"/>
        <v>46107443</v>
      </c>
      <c r="E288" s="68">
        <f t="shared" si="131"/>
        <v>36124055</v>
      </c>
      <c r="F288" s="68">
        <f t="shared" si="131"/>
        <v>46614248</v>
      </c>
      <c r="G288" s="68">
        <f t="shared" si="131"/>
        <v>31774442</v>
      </c>
      <c r="H288" s="68">
        <f t="shared" si="131"/>
        <v>31774442</v>
      </c>
      <c r="I288" s="68">
        <f t="shared" si="131"/>
        <v>31774442</v>
      </c>
      <c r="J288" s="68">
        <f t="shared" si="131"/>
        <v>0</v>
      </c>
      <c r="K288" s="85">
        <f t="shared" si="131"/>
        <v>19265062</v>
      </c>
    </row>
    <row r="289" spans="1:11" ht="48">
      <c r="A289" s="153" t="s">
        <v>303</v>
      </c>
      <c r="B289" s="126" t="s">
        <v>66</v>
      </c>
      <c r="C289" s="70">
        <f>C290+C293+C297+C298+C300+C304+C303</f>
        <v>16799305</v>
      </c>
      <c r="D289" s="70">
        <f>D290+D293+D297+D298+D300+D304+D303</f>
        <v>21990392</v>
      </c>
      <c r="E289" s="70">
        <f>E290+E293+E297+E298+E300+E304+E303</f>
        <v>16799305</v>
      </c>
      <c r="F289" s="70">
        <f t="shared" ref="F289:K289" si="132">F290+F293+F297+F298+F300+F304+F303</f>
        <v>21952197</v>
      </c>
      <c r="G289" s="70">
        <f t="shared" si="132"/>
        <v>15446673</v>
      </c>
      <c r="H289" s="70">
        <f t="shared" si="132"/>
        <v>15446673</v>
      </c>
      <c r="I289" s="70">
        <f t="shared" si="132"/>
        <v>15446673</v>
      </c>
      <c r="J289" s="70">
        <f t="shared" si="132"/>
        <v>0</v>
      </c>
      <c r="K289" s="70">
        <f t="shared" si="132"/>
        <v>10860598</v>
      </c>
    </row>
    <row r="290" spans="1:11" ht="24">
      <c r="A290" s="156" t="s">
        <v>278</v>
      </c>
      <c r="B290" s="127" t="s">
        <v>68</v>
      </c>
      <c r="C290" s="72">
        <f t="shared" ref="C290:K290" si="133">C291+C292</f>
        <v>3964400</v>
      </c>
      <c r="D290" s="72">
        <f t="shared" si="133"/>
        <v>4972793</v>
      </c>
      <c r="E290" s="72">
        <f>E291+E292</f>
        <v>3964400</v>
      </c>
      <c r="F290" s="72">
        <f>F291+F292</f>
        <v>4972793</v>
      </c>
      <c r="G290" s="72">
        <f t="shared" si="133"/>
        <v>2911908</v>
      </c>
      <c r="H290" s="72">
        <f t="shared" si="133"/>
        <v>2911908</v>
      </c>
      <c r="I290" s="72">
        <f t="shared" si="133"/>
        <v>2911908</v>
      </c>
      <c r="J290" s="72">
        <f>J291+J292</f>
        <v>0</v>
      </c>
      <c r="K290" s="73">
        <f t="shared" si="133"/>
        <v>3512033</v>
      </c>
    </row>
    <row r="291" spans="1:11" ht="15">
      <c r="A291" s="155" t="s">
        <v>69</v>
      </c>
      <c r="B291" s="128" t="s">
        <v>70</v>
      </c>
      <c r="C291" s="181">
        <f>E291</f>
        <v>3964400</v>
      </c>
      <c r="D291" s="90">
        <f>F291</f>
        <v>4972793</v>
      </c>
      <c r="E291" s="79">
        <f>'[1]13+verif'!E287</f>
        <v>3964400</v>
      </c>
      <c r="F291" s="79">
        <f>'[1]13+verif'!F287</f>
        <v>4972793</v>
      </c>
      <c r="G291" s="79">
        <f>'[1]13+verif'!G287</f>
        <v>2911908</v>
      </c>
      <c r="H291" s="79">
        <f>'[1]13+verif'!H287</f>
        <v>2911908</v>
      </c>
      <c r="I291" s="79">
        <f>'[1]13+verif'!I287</f>
        <v>2911908</v>
      </c>
      <c r="J291" s="79">
        <f>'[1]13+verif'!J287</f>
        <v>0</v>
      </c>
      <c r="K291" s="79">
        <f>'[1]13+verif'!K287</f>
        <v>3510984</v>
      </c>
    </row>
    <row r="292" spans="1:11" ht="15">
      <c r="A292" s="155" t="s">
        <v>71</v>
      </c>
      <c r="B292" s="128" t="s">
        <v>72</v>
      </c>
      <c r="C292" s="118"/>
      <c r="D292" s="90"/>
      <c r="E292" s="90"/>
      <c r="F292" s="79"/>
      <c r="G292" s="90"/>
      <c r="H292" s="90"/>
      <c r="I292" s="90"/>
      <c r="J292" s="79">
        <v>0</v>
      </c>
      <c r="K292" s="75">
        <f>'[1]13+verif'!K288</f>
        <v>1049</v>
      </c>
    </row>
    <row r="293" spans="1:11" ht="24">
      <c r="A293" s="156" t="s">
        <v>279</v>
      </c>
      <c r="B293" s="127" t="s">
        <v>74</v>
      </c>
      <c r="C293" s="72">
        <f>C294+C295+C296</f>
        <v>9163105</v>
      </c>
      <c r="D293" s="72">
        <f>D294+D295+D296</f>
        <v>10786799</v>
      </c>
      <c r="E293" s="72">
        <f t="shared" ref="E293:K293" si="134">E294+E295+E296</f>
        <v>9163105</v>
      </c>
      <c r="F293" s="72">
        <f t="shared" si="134"/>
        <v>10786799</v>
      </c>
      <c r="G293" s="72">
        <f t="shared" si="134"/>
        <v>7067329</v>
      </c>
      <c r="H293" s="72">
        <f t="shared" si="134"/>
        <v>7067329</v>
      </c>
      <c r="I293" s="72">
        <f t="shared" si="134"/>
        <v>7067329</v>
      </c>
      <c r="J293" s="72">
        <f t="shared" si="134"/>
        <v>0</v>
      </c>
      <c r="K293" s="73">
        <f t="shared" si="134"/>
        <v>4113114</v>
      </c>
    </row>
    <row r="294" spans="1:11" ht="15">
      <c r="A294" s="155" t="s">
        <v>75</v>
      </c>
      <c r="B294" s="128" t="s">
        <v>76</v>
      </c>
      <c r="C294" s="118">
        <f>E294</f>
        <v>4744000</v>
      </c>
      <c r="D294" s="90">
        <f>F294</f>
        <v>5705649</v>
      </c>
      <c r="E294" s="79">
        <f>'[1]13+verif'!E290</f>
        <v>4744000</v>
      </c>
      <c r="F294" s="79">
        <f>'[1]13+verif'!F290</f>
        <v>5705649</v>
      </c>
      <c r="G294" s="79">
        <f>'[1]13+verif'!G290</f>
        <v>3798534</v>
      </c>
      <c r="H294" s="79">
        <f>'[1]13+verif'!H290</f>
        <v>3798534</v>
      </c>
      <c r="I294" s="79">
        <f>'[1]13+verif'!I290</f>
        <v>3798534</v>
      </c>
      <c r="J294" s="79">
        <f>'[1]13+verif'!J290</f>
        <v>0</v>
      </c>
      <c r="K294" s="79">
        <f>'[1]13+verif'!K290</f>
        <v>3463990</v>
      </c>
    </row>
    <row r="295" spans="1:11" ht="15">
      <c r="A295" s="155" t="s">
        <v>77</v>
      </c>
      <c r="B295" s="128" t="s">
        <v>78</v>
      </c>
      <c r="C295" s="118">
        <f>E295</f>
        <v>4419105</v>
      </c>
      <c r="D295" s="90">
        <f>F295</f>
        <v>5081150</v>
      </c>
      <c r="E295" s="79">
        <f>'[1]13+verif'!E291</f>
        <v>4419105</v>
      </c>
      <c r="F295" s="79">
        <f>'[1]13+verif'!F291</f>
        <v>5081150</v>
      </c>
      <c r="G295" s="79">
        <f>'[1]13+verif'!G291</f>
        <v>3268795</v>
      </c>
      <c r="H295" s="79">
        <f>'[1]13+verif'!H291</f>
        <v>3268795</v>
      </c>
      <c r="I295" s="79">
        <f>'[1]13+verif'!I291</f>
        <v>3268795</v>
      </c>
      <c r="J295" s="79">
        <f>'[1]13+verif'!J291</f>
        <v>0</v>
      </c>
      <c r="K295" s="79">
        <f>'[1]13+verif'!K291</f>
        <v>649124</v>
      </c>
    </row>
    <row r="296" spans="1:11" ht="15">
      <c r="A296" s="155" t="s">
        <v>79</v>
      </c>
      <c r="B296" s="128" t="s">
        <v>80</v>
      </c>
      <c r="C296" s="118"/>
      <c r="D296" s="90"/>
      <c r="E296" s="90"/>
      <c r="F296" s="79"/>
      <c r="G296" s="90"/>
      <c r="H296" s="79"/>
      <c r="I296" s="79"/>
      <c r="J296" s="79"/>
      <c r="K296" s="86"/>
    </row>
    <row r="297" spans="1:11" ht="15">
      <c r="A297" s="155" t="s">
        <v>81</v>
      </c>
      <c r="B297" s="128" t="s">
        <v>82</v>
      </c>
      <c r="C297" s="118"/>
      <c r="D297" s="90"/>
      <c r="E297" s="90"/>
      <c r="F297" s="105"/>
      <c r="G297" s="90"/>
      <c r="H297" s="79"/>
      <c r="I297" s="79"/>
      <c r="J297" s="79"/>
      <c r="K297" s="86"/>
    </row>
    <row r="298" spans="1:11" ht="24" hidden="1">
      <c r="A298" s="156" t="s">
        <v>281</v>
      </c>
      <c r="B298" s="127" t="s">
        <v>84</v>
      </c>
      <c r="C298" s="120"/>
      <c r="D298" s="72"/>
      <c r="E298" s="72"/>
      <c r="F298" s="72"/>
      <c r="G298" s="72"/>
      <c r="H298" s="72"/>
      <c r="I298" s="72"/>
      <c r="J298" s="72"/>
      <c r="K298" s="73"/>
    </row>
    <row r="299" spans="1:11" ht="15" hidden="1">
      <c r="A299" s="155" t="s">
        <v>304</v>
      </c>
      <c r="B299" s="128" t="s">
        <v>86</v>
      </c>
      <c r="C299" s="118"/>
      <c r="D299" s="90"/>
      <c r="E299" s="90"/>
      <c r="F299" s="79"/>
      <c r="G299" s="90"/>
      <c r="H299" s="92"/>
      <c r="I299" s="79"/>
      <c r="J299" s="79"/>
      <c r="K299" s="86"/>
    </row>
    <row r="300" spans="1:11" ht="36" hidden="1">
      <c r="A300" s="156" t="s">
        <v>282</v>
      </c>
      <c r="B300" s="127" t="s">
        <v>88</v>
      </c>
      <c r="C300" s="120"/>
      <c r="D300" s="72"/>
      <c r="E300" s="72"/>
      <c r="F300" s="72"/>
      <c r="G300" s="72"/>
      <c r="H300" s="72"/>
      <c r="I300" s="72"/>
      <c r="J300" s="72"/>
      <c r="K300" s="73"/>
    </row>
    <row r="301" spans="1:11" ht="15" hidden="1">
      <c r="A301" s="155" t="s">
        <v>89</v>
      </c>
      <c r="B301" s="128" t="s">
        <v>90</v>
      </c>
      <c r="C301" s="118"/>
      <c r="D301" s="90"/>
      <c r="E301" s="90"/>
      <c r="F301" s="79"/>
      <c r="G301" s="90"/>
      <c r="H301" s="90"/>
      <c r="I301" s="90"/>
      <c r="J301" s="79"/>
      <c r="K301" s="86"/>
    </row>
    <row r="302" spans="1:11" ht="15" hidden="1">
      <c r="A302" s="155" t="s">
        <v>91</v>
      </c>
      <c r="B302" s="128" t="s">
        <v>92</v>
      </c>
      <c r="C302" s="118"/>
      <c r="D302" s="90"/>
      <c r="E302" s="90"/>
      <c r="F302" s="79"/>
      <c r="G302" s="90"/>
      <c r="H302" s="90"/>
      <c r="I302" s="79"/>
      <c r="J302" s="79"/>
      <c r="K302" s="86"/>
    </row>
    <row r="303" spans="1:11" ht="15">
      <c r="A303" s="40" t="s">
        <v>93</v>
      </c>
      <c r="B303" s="168" t="s">
        <v>94</v>
      </c>
      <c r="C303" s="179">
        <f>E303</f>
        <v>81800</v>
      </c>
      <c r="D303" s="179">
        <f>F303</f>
        <v>56800</v>
      </c>
      <c r="E303" s="178">
        <f>'[1]13+verif'!E299</f>
        <v>81800</v>
      </c>
      <c r="F303" s="178">
        <f>'[1]13+verif'!F299</f>
        <v>56800</v>
      </c>
      <c r="G303" s="178">
        <f>'[1]13+verif'!G299</f>
        <v>55870</v>
      </c>
      <c r="H303" s="178">
        <f>'[1]13+verif'!H299</f>
        <v>55870</v>
      </c>
      <c r="I303" s="178">
        <f>'[1]13+verif'!I299</f>
        <v>55870</v>
      </c>
      <c r="J303" s="178">
        <f>'[1]13+verif'!J299</f>
        <v>0</v>
      </c>
      <c r="K303" s="178">
        <f>'[1]13+verif'!K299</f>
        <v>55870</v>
      </c>
    </row>
    <row r="304" spans="1:11" ht="24">
      <c r="A304" s="155" t="s">
        <v>95</v>
      </c>
      <c r="B304" s="128" t="s">
        <v>96</v>
      </c>
      <c r="C304" s="179">
        <f>E304</f>
        <v>3590000</v>
      </c>
      <c r="D304" s="177">
        <v>6174000</v>
      </c>
      <c r="E304" s="178">
        <f>'[1]13+verif'!E300</f>
        <v>3590000</v>
      </c>
      <c r="F304" s="178">
        <f>'[1]13+verif'!F300</f>
        <v>6135805</v>
      </c>
      <c r="G304" s="178">
        <f>'[1]13+verif'!G300</f>
        <v>5411566</v>
      </c>
      <c r="H304" s="178">
        <f>'[1]13+verif'!H300</f>
        <v>5411566</v>
      </c>
      <c r="I304" s="178">
        <f>'[1]13+verif'!I300</f>
        <v>5411566</v>
      </c>
      <c r="J304" s="178">
        <f>'[1]13+verif'!J300</f>
        <v>0</v>
      </c>
      <c r="K304" s="178">
        <f>'[1]13+verif'!K300</f>
        <v>3179581</v>
      </c>
    </row>
    <row r="305" spans="1:11" ht="36">
      <c r="A305" s="153" t="s">
        <v>305</v>
      </c>
      <c r="B305" s="126" t="s">
        <v>98</v>
      </c>
      <c r="C305" s="70">
        <f t="shared" ref="C305:K305" si="135">C306+C309+C310</f>
        <v>0</v>
      </c>
      <c r="D305" s="70">
        <f t="shared" si="135"/>
        <v>0</v>
      </c>
      <c r="E305" s="70">
        <f t="shared" si="135"/>
        <v>392000</v>
      </c>
      <c r="F305" s="70">
        <f t="shared" si="135"/>
        <v>392000</v>
      </c>
      <c r="G305" s="70">
        <f t="shared" si="135"/>
        <v>392000</v>
      </c>
      <c r="H305" s="70">
        <f t="shared" si="135"/>
        <v>392000</v>
      </c>
      <c r="I305" s="70">
        <f t="shared" si="135"/>
        <v>392000</v>
      </c>
      <c r="J305" s="70">
        <f>J306+J309+J310</f>
        <v>0</v>
      </c>
      <c r="K305" s="71">
        <f t="shared" si="135"/>
        <v>392181</v>
      </c>
    </row>
    <row r="306" spans="1:11" ht="36">
      <c r="A306" s="156" t="s">
        <v>99</v>
      </c>
      <c r="B306" s="127" t="s">
        <v>100</v>
      </c>
      <c r="C306" s="72">
        <f t="shared" ref="C306:K306" si="136">C307+C308</f>
        <v>0</v>
      </c>
      <c r="D306" s="72">
        <f t="shared" si="136"/>
        <v>0</v>
      </c>
      <c r="E306" s="72">
        <f t="shared" si="136"/>
        <v>0</v>
      </c>
      <c r="F306" s="72">
        <f t="shared" si="136"/>
        <v>0</v>
      </c>
      <c r="G306" s="72">
        <f t="shared" si="136"/>
        <v>0</v>
      </c>
      <c r="H306" s="72">
        <f t="shared" si="136"/>
        <v>0</v>
      </c>
      <c r="I306" s="72">
        <f t="shared" si="136"/>
        <v>0</v>
      </c>
      <c r="J306" s="72">
        <f>J307+J308</f>
        <v>0</v>
      </c>
      <c r="K306" s="73">
        <f t="shared" si="136"/>
        <v>0</v>
      </c>
    </row>
    <row r="307" spans="1:11" ht="15" hidden="1">
      <c r="A307" s="155" t="s">
        <v>101</v>
      </c>
      <c r="B307" s="128" t="s">
        <v>102</v>
      </c>
      <c r="C307" s="118"/>
      <c r="D307" s="90"/>
      <c r="E307" s="79"/>
      <c r="F307" s="105"/>
      <c r="G307" s="79"/>
      <c r="H307" s="92">
        <f>G307</f>
        <v>0</v>
      </c>
      <c r="I307" s="92"/>
      <c r="J307" s="92">
        <f>G307-I307</f>
        <v>0</v>
      </c>
      <c r="K307" s="86"/>
    </row>
    <row r="308" spans="1:11" ht="15" hidden="1">
      <c r="A308" s="155" t="s">
        <v>103</v>
      </c>
      <c r="B308" s="129" t="s">
        <v>104</v>
      </c>
      <c r="C308" s="118"/>
      <c r="D308" s="90"/>
      <c r="E308" s="79"/>
      <c r="F308" s="79"/>
      <c r="G308" s="79"/>
      <c r="H308" s="92">
        <f>G308</f>
        <v>0</v>
      </c>
      <c r="I308" s="92"/>
      <c r="J308" s="92">
        <f>G308-I308</f>
        <v>0</v>
      </c>
      <c r="K308" s="86"/>
    </row>
    <row r="309" spans="1:11" ht="15">
      <c r="A309" s="155" t="s">
        <v>105</v>
      </c>
      <c r="B309" s="129" t="s">
        <v>106</v>
      </c>
      <c r="C309" s="118"/>
      <c r="D309" s="90"/>
      <c r="E309" s="79"/>
      <c r="F309" s="79"/>
      <c r="G309" s="79"/>
      <c r="H309" s="92">
        <f>G309</f>
        <v>0</v>
      </c>
      <c r="I309" s="92"/>
      <c r="J309" s="92">
        <f>G309-I309</f>
        <v>0</v>
      </c>
      <c r="K309" s="86">
        <v>181</v>
      </c>
    </row>
    <row r="310" spans="1:11" ht="24">
      <c r="A310" s="156" t="s">
        <v>306</v>
      </c>
      <c r="B310" s="127" t="s">
        <v>108</v>
      </c>
      <c r="C310" s="120"/>
      <c r="D310" s="72"/>
      <c r="E310" s="72">
        <f t="shared" ref="E310:K310" si="137">E311</f>
        <v>392000</v>
      </c>
      <c r="F310" s="72">
        <f t="shared" si="137"/>
        <v>392000</v>
      </c>
      <c r="G310" s="72">
        <f t="shared" si="137"/>
        <v>392000</v>
      </c>
      <c r="H310" s="72">
        <f t="shared" si="137"/>
        <v>392000</v>
      </c>
      <c r="I310" s="72">
        <f t="shared" si="137"/>
        <v>392000</v>
      </c>
      <c r="J310" s="72">
        <f t="shared" si="137"/>
        <v>0</v>
      </c>
      <c r="K310" s="73">
        <f t="shared" si="137"/>
        <v>392000</v>
      </c>
    </row>
    <row r="311" spans="1:11" ht="15">
      <c r="A311" s="155" t="s">
        <v>109</v>
      </c>
      <c r="B311" s="128" t="s">
        <v>110</v>
      </c>
      <c r="C311" s="118"/>
      <c r="D311" s="90"/>
      <c r="E311" s="79">
        <v>392000</v>
      </c>
      <c r="F311" s="79">
        <v>392000</v>
      </c>
      <c r="G311" s="79">
        <v>392000</v>
      </c>
      <c r="H311" s="79">
        <f>G311</f>
        <v>392000</v>
      </c>
      <c r="I311" s="79">
        <v>392000</v>
      </c>
      <c r="J311" s="79"/>
      <c r="K311" s="178">
        <v>392000</v>
      </c>
    </row>
    <row r="312" spans="1:11" ht="48">
      <c r="A312" s="153" t="s">
        <v>307</v>
      </c>
      <c r="B312" s="126" t="s">
        <v>112</v>
      </c>
      <c r="C312" s="70">
        <f t="shared" ref="C312:K312" si="138">C313+C323+C327+C328</f>
        <v>15175150</v>
      </c>
      <c r="D312" s="70">
        <f t="shared" si="138"/>
        <v>20155451</v>
      </c>
      <c r="E312" s="70">
        <f t="shared" si="138"/>
        <v>15384150</v>
      </c>
      <c r="F312" s="70">
        <f t="shared" si="138"/>
        <v>20308451</v>
      </c>
      <c r="G312" s="70">
        <f t="shared" si="138"/>
        <v>12495820</v>
      </c>
      <c r="H312" s="70">
        <f t="shared" si="138"/>
        <v>12495820</v>
      </c>
      <c r="I312" s="70">
        <f t="shared" si="138"/>
        <v>12495820</v>
      </c>
      <c r="J312" s="70">
        <f t="shared" si="138"/>
        <v>0</v>
      </c>
      <c r="K312" s="71">
        <f t="shared" si="138"/>
        <v>566550</v>
      </c>
    </row>
    <row r="313" spans="1:11" ht="48">
      <c r="A313" s="156" t="s">
        <v>113</v>
      </c>
      <c r="B313" s="127" t="s">
        <v>114</v>
      </c>
      <c r="C313" s="72">
        <f t="shared" ref="C313:K313" si="139">C314+C315+C316+C317+C318+C319+C320+C321+C322</f>
        <v>3604500</v>
      </c>
      <c r="D313" s="72">
        <f t="shared" si="139"/>
        <v>2303500</v>
      </c>
      <c r="E313" s="72">
        <f t="shared" si="139"/>
        <v>3753500</v>
      </c>
      <c r="F313" s="72">
        <f t="shared" si="139"/>
        <v>2456500</v>
      </c>
      <c r="G313" s="72">
        <f t="shared" si="139"/>
        <v>1283075</v>
      </c>
      <c r="H313" s="72">
        <f t="shared" si="139"/>
        <v>1283075</v>
      </c>
      <c r="I313" s="72">
        <f t="shared" si="139"/>
        <v>1283075</v>
      </c>
      <c r="J313" s="72">
        <f t="shared" si="139"/>
        <v>0</v>
      </c>
      <c r="K313" s="73">
        <f t="shared" si="139"/>
        <v>454641</v>
      </c>
    </row>
    <row r="314" spans="1:11" ht="24">
      <c r="A314" s="155" t="s">
        <v>308</v>
      </c>
      <c r="B314" s="128" t="s">
        <v>116</v>
      </c>
      <c r="C314" s="118"/>
      <c r="D314" s="90"/>
      <c r="E314" s="79"/>
      <c r="F314" s="79"/>
      <c r="G314" s="79"/>
      <c r="H314" s="92">
        <f>G314</f>
        <v>0</v>
      </c>
      <c r="I314" s="92"/>
      <c r="J314" s="92">
        <f t="shared" ref="J314:J322" si="140">G314-I314</f>
        <v>0</v>
      </c>
      <c r="K314" s="86"/>
    </row>
    <row r="315" spans="1:11" ht="15">
      <c r="A315" s="155" t="s">
        <v>117</v>
      </c>
      <c r="B315" s="128" t="s">
        <v>118</v>
      </c>
      <c r="C315" s="118"/>
      <c r="D315" s="90"/>
      <c r="E315" s="79"/>
      <c r="F315" s="79">
        <v>4000</v>
      </c>
      <c r="G315" s="79">
        <v>498</v>
      </c>
      <c r="H315" s="92">
        <f t="shared" ref="H315:H322" si="141">G315</f>
        <v>498</v>
      </c>
      <c r="I315" s="92">
        <v>498</v>
      </c>
      <c r="J315" s="92">
        <f t="shared" si="140"/>
        <v>0</v>
      </c>
      <c r="K315" s="86">
        <v>498</v>
      </c>
    </row>
    <row r="316" spans="1:11" ht="24">
      <c r="A316" s="155" t="s">
        <v>119</v>
      </c>
      <c r="B316" s="128" t="s">
        <v>120</v>
      </c>
      <c r="C316" s="181">
        <v>3604500</v>
      </c>
      <c r="D316" s="90">
        <v>2303500</v>
      </c>
      <c r="E316" s="79">
        <f>149000+3604500</f>
        <v>3753500</v>
      </c>
      <c r="F316" s="79">
        <f>149000+2303500</f>
        <v>2452500</v>
      </c>
      <c r="G316" s="79">
        <f>48586+1233991</f>
        <v>1282577</v>
      </c>
      <c r="H316" s="92">
        <f t="shared" si="141"/>
        <v>1282577</v>
      </c>
      <c r="I316" s="79">
        <f>48586+1233991</f>
        <v>1282577</v>
      </c>
      <c r="J316" s="137">
        <f t="shared" si="140"/>
        <v>0</v>
      </c>
      <c r="K316" s="86">
        <f>328484+46468</f>
        <v>374952</v>
      </c>
    </row>
    <row r="317" spans="1:11" ht="24">
      <c r="A317" s="155" t="s">
        <v>121</v>
      </c>
      <c r="B317" s="128" t="s">
        <v>122</v>
      </c>
      <c r="C317" s="118"/>
      <c r="D317" s="90"/>
      <c r="E317" s="79"/>
      <c r="F317" s="79"/>
      <c r="G317" s="79"/>
      <c r="H317" s="92">
        <f t="shared" si="141"/>
        <v>0</v>
      </c>
      <c r="I317" s="92"/>
      <c r="J317" s="92">
        <f t="shared" si="140"/>
        <v>0</v>
      </c>
      <c r="K317" s="86"/>
    </row>
    <row r="318" spans="1:11" ht="15">
      <c r="A318" s="155" t="s">
        <v>123</v>
      </c>
      <c r="B318" s="128" t="s">
        <v>124</v>
      </c>
      <c r="C318" s="118"/>
      <c r="D318" s="90"/>
      <c r="E318" s="79"/>
      <c r="F318" s="79"/>
      <c r="G318" s="79"/>
      <c r="H318" s="92"/>
      <c r="I318" s="79"/>
      <c r="J318" s="137">
        <f t="shared" si="140"/>
        <v>0</v>
      </c>
      <c r="K318" s="86">
        <v>79191</v>
      </c>
    </row>
    <row r="319" spans="1:11" ht="15" hidden="1">
      <c r="A319" s="155" t="s">
        <v>125</v>
      </c>
      <c r="B319" s="128" t="s">
        <v>126</v>
      </c>
      <c r="C319" s="118"/>
      <c r="D319" s="90"/>
      <c r="E319" s="79"/>
      <c r="F319" s="79"/>
      <c r="G319" s="79"/>
      <c r="H319" s="92">
        <f t="shared" si="141"/>
        <v>0</v>
      </c>
      <c r="I319" s="92"/>
      <c r="J319" s="92">
        <f t="shared" si="140"/>
        <v>0</v>
      </c>
      <c r="K319" s="86"/>
    </row>
    <row r="320" spans="1:11" ht="24" hidden="1">
      <c r="A320" s="164" t="s">
        <v>127</v>
      </c>
      <c r="B320" s="128" t="s">
        <v>128</v>
      </c>
      <c r="C320" s="118"/>
      <c r="D320" s="90"/>
      <c r="E320" s="79"/>
      <c r="F320" s="79"/>
      <c r="G320" s="79"/>
      <c r="H320" s="92">
        <f t="shared" si="141"/>
        <v>0</v>
      </c>
      <c r="I320" s="92"/>
      <c r="J320" s="92">
        <f t="shared" si="140"/>
        <v>0</v>
      </c>
      <c r="K320" s="86"/>
    </row>
    <row r="321" spans="1:11" ht="24" hidden="1">
      <c r="A321" s="155" t="s">
        <v>129</v>
      </c>
      <c r="B321" s="128" t="s">
        <v>130</v>
      </c>
      <c r="C321" s="118"/>
      <c r="D321" s="90"/>
      <c r="E321" s="79"/>
      <c r="F321" s="79"/>
      <c r="G321" s="79"/>
      <c r="H321" s="92">
        <f t="shared" si="141"/>
        <v>0</v>
      </c>
      <c r="I321" s="92"/>
      <c r="J321" s="92">
        <f t="shared" si="140"/>
        <v>0</v>
      </c>
      <c r="K321" s="86"/>
    </row>
    <row r="322" spans="1:11" ht="15" hidden="1">
      <c r="A322" s="155" t="s">
        <v>131</v>
      </c>
      <c r="B322" s="128" t="s">
        <v>132</v>
      </c>
      <c r="C322" s="118"/>
      <c r="D322" s="90"/>
      <c r="E322" s="79"/>
      <c r="F322" s="79"/>
      <c r="G322" s="79"/>
      <c r="H322" s="92">
        <f t="shared" si="141"/>
        <v>0</v>
      </c>
      <c r="I322" s="92"/>
      <c r="J322" s="92">
        <f t="shared" si="140"/>
        <v>0</v>
      </c>
      <c r="K322" s="86"/>
    </row>
    <row r="323" spans="1:11" ht="24">
      <c r="A323" s="156" t="s">
        <v>285</v>
      </c>
      <c r="B323" s="127" t="s">
        <v>134</v>
      </c>
      <c r="C323" s="120"/>
      <c r="D323" s="72">
        <f>D324+D325+D326</f>
        <v>0</v>
      </c>
      <c r="E323" s="72">
        <f>E324+E325+E326</f>
        <v>60000</v>
      </c>
      <c r="F323" s="72">
        <f t="shared" ref="F323:K323" si="142">F324+F325+F326</f>
        <v>0</v>
      </c>
      <c r="G323" s="72">
        <f t="shared" si="142"/>
        <v>0</v>
      </c>
      <c r="H323" s="72">
        <f t="shared" si="142"/>
        <v>0</v>
      </c>
      <c r="I323" s="72">
        <f t="shared" si="142"/>
        <v>0</v>
      </c>
      <c r="J323" s="72">
        <f t="shared" si="142"/>
        <v>0</v>
      </c>
      <c r="K323" s="121">
        <f t="shared" si="142"/>
        <v>0</v>
      </c>
    </row>
    <row r="324" spans="1:11" ht="15">
      <c r="A324" s="155" t="s">
        <v>135</v>
      </c>
      <c r="B324" s="128" t="s">
        <v>136</v>
      </c>
      <c r="C324" s="118"/>
      <c r="D324" s="90"/>
      <c r="E324" s="79">
        <v>60000</v>
      </c>
      <c r="F324" s="79"/>
      <c r="G324" s="79"/>
      <c r="H324" s="79"/>
      <c r="I324" s="79"/>
      <c r="J324" s="137"/>
      <c r="K324" s="86"/>
    </row>
    <row r="325" spans="1:11" ht="15">
      <c r="A325" s="155" t="s">
        <v>137</v>
      </c>
      <c r="B325" s="128" t="s">
        <v>138</v>
      </c>
      <c r="C325" s="118"/>
      <c r="D325" s="90"/>
      <c r="E325" s="79"/>
      <c r="F325" s="79"/>
      <c r="G325" s="79"/>
      <c r="H325" s="79"/>
      <c r="I325" s="92"/>
      <c r="J325" s="92"/>
      <c r="K325" s="86"/>
    </row>
    <row r="326" spans="1:11" ht="36" hidden="1">
      <c r="A326" s="155" t="s">
        <v>309</v>
      </c>
      <c r="B326" s="128" t="s">
        <v>140</v>
      </c>
      <c r="C326" s="118"/>
      <c r="D326" s="90"/>
      <c r="E326" s="79"/>
      <c r="F326" s="79"/>
      <c r="G326" s="79"/>
      <c r="H326" s="79"/>
      <c r="I326" s="79"/>
      <c r="J326" s="137"/>
      <c r="K326" s="86"/>
    </row>
    <row r="327" spans="1:11" ht="15">
      <c r="A327" s="155" t="s">
        <v>141</v>
      </c>
      <c r="B327" s="128" t="s">
        <v>142</v>
      </c>
      <c r="C327" s="118"/>
      <c r="D327" s="90">
        <f>F327</f>
        <v>0</v>
      </c>
      <c r="E327" s="79"/>
      <c r="F327" s="79"/>
      <c r="G327" s="79"/>
      <c r="H327" s="79"/>
      <c r="I327" s="92"/>
      <c r="J327" s="92"/>
      <c r="K327" s="86"/>
    </row>
    <row r="328" spans="1:11" ht="24">
      <c r="A328" s="155" t="s">
        <v>143</v>
      </c>
      <c r="B328" s="128" t="s">
        <v>144</v>
      </c>
      <c r="C328" s="181">
        <f>E328</f>
        <v>11570650</v>
      </c>
      <c r="D328" s="90">
        <f>F328</f>
        <v>17851951</v>
      </c>
      <c r="E328" s="79">
        <f>3538150+381500+6089800+1561200</f>
        <v>11570650</v>
      </c>
      <c r="F328" s="79">
        <f>10364451+481500+6089800+916200</f>
        <v>17851951</v>
      </c>
      <c r="G328" s="79">
        <f>6914532+3606462+394717+297034</f>
        <v>11212745</v>
      </c>
      <c r="H328" s="79">
        <f>G328</f>
        <v>11212745</v>
      </c>
      <c r="I328" s="79">
        <f>6914532+3606462+394717+297034</f>
        <v>11212745</v>
      </c>
      <c r="J328" s="79"/>
      <c r="K328" s="79">
        <f>74903+1626+1002+34378</f>
        <v>111909</v>
      </c>
    </row>
    <row r="329" spans="1:11" ht="48">
      <c r="A329" s="153" t="s">
        <v>146</v>
      </c>
      <c r="B329" s="126" t="s">
        <v>147</v>
      </c>
      <c r="C329" s="70">
        <f t="shared" ref="C329:K329" si="143">C330+C331+C333+C334+C335+C336+C337+C340</f>
        <v>3548600</v>
      </c>
      <c r="D329" s="70">
        <f t="shared" si="143"/>
        <v>3961600</v>
      </c>
      <c r="E329" s="70">
        <f t="shared" si="143"/>
        <v>3548600</v>
      </c>
      <c r="F329" s="70">
        <f t="shared" si="143"/>
        <v>3961600</v>
      </c>
      <c r="G329" s="70">
        <f t="shared" si="143"/>
        <v>3439949</v>
      </c>
      <c r="H329" s="70">
        <f t="shared" si="143"/>
        <v>3439949</v>
      </c>
      <c r="I329" s="70">
        <f t="shared" si="143"/>
        <v>3439949</v>
      </c>
      <c r="J329" s="70">
        <f t="shared" si="143"/>
        <v>0</v>
      </c>
      <c r="K329" s="122">
        <f t="shared" si="143"/>
        <v>7445733</v>
      </c>
    </row>
    <row r="330" spans="1:11" ht="24">
      <c r="A330" s="155" t="s">
        <v>148</v>
      </c>
      <c r="B330" s="128" t="s">
        <v>149</v>
      </c>
      <c r="C330" s="90">
        <f>E330</f>
        <v>300000</v>
      </c>
      <c r="D330" s="90">
        <f>F330</f>
        <v>720000</v>
      </c>
      <c r="E330" s="79">
        <v>300000</v>
      </c>
      <c r="F330" s="79">
        <v>720000</v>
      </c>
      <c r="G330" s="79">
        <v>413503</v>
      </c>
      <c r="H330" s="92">
        <f>G330</f>
        <v>413503</v>
      </c>
      <c r="I330" s="92">
        <v>413503</v>
      </c>
      <c r="J330" s="92">
        <f>G330-I330</f>
        <v>0</v>
      </c>
      <c r="K330" s="86">
        <v>379806</v>
      </c>
    </row>
    <row r="331" spans="1:11" ht="24" hidden="1">
      <c r="A331" s="156" t="s">
        <v>150</v>
      </c>
      <c r="B331" s="127" t="s">
        <v>151</v>
      </c>
      <c r="C331" s="23"/>
      <c r="D331" s="72">
        <f>D332</f>
        <v>0</v>
      </c>
      <c r="E331" s="72">
        <f t="shared" ref="E331:K331" si="144">E332</f>
        <v>0</v>
      </c>
      <c r="F331" s="72">
        <f t="shared" si="144"/>
        <v>0</v>
      </c>
      <c r="G331" s="72">
        <f t="shared" si="144"/>
        <v>0</v>
      </c>
      <c r="H331" s="72">
        <f t="shared" si="144"/>
        <v>0</v>
      </c>
      <c r="I331" s="72">
        <f t="shared" si="144"/>
        <v>0</v>
      </c>
      <c r="J331" s="72">
        <f t="shared" si="144"/>
        <v>0</v>
      </c>
      <c r="K331" s="121">
        <f t="shared" si="144"/>
        <v>0</v>
      </c>
    </row>
    <row r="332" spans="1:11" ht="24" hidden="1">
      <c r="A332" s="155" t="s">
        <v>152</v>
      </c>
      <c r="B332" s="128" t="s">
        <v>153</v>
      </c>
      <c r="C332" s="118">
        <f>D332</f>
        <v>0</v>
      </c>
      <c r="D332" s="90"/>
      <c r="E332" s="79"/>
      <c r="F332" s="79"/>
      <c r="G332" s="79"/>
      <c r="H332" s="92">
        <f>G332</f>
        <v>0</v>
      </c>
      <c r="I332" s="92"/>
      <c r="J332" s="92">
        <f>G332-I332</f>
        <v>0</v>
      </c>
      <c r="K332" s="86"/>
    </row>
    <row r="333" spans="1:11" ht="24" hidden="1">
      <c r="A333" s="155" t="s">
        <v>154</v>
      </c>
      <c r="B333" s="128" t="s">
        <v>155</v>
      </c>
      <c r="C333" s="118">
        <f>D333</f>
        <v>0</v>
      </c>
      <c r="D333" s="90"/>
      <c r="E333" s="79"/>
      <c r="F333" s="79"/>
      <c r="G333" s="79"/>
      <c r="H333" s="92">
        <f>G333</f>
        <v>0</v>
      </c>
      <c r="I333" s="92"/>
      <c r="J333" s="92">
        <f>G333-I333</f>
        <v>0</v>
      </c>
      <c r="K333" s="86"/>
    </row>
    <row r="334" spans="1:11" ht="15" hidden="1">
      <c r="A334" s="155" t="s">
        <v>156</v>
      </c>
      <c r="B334" s="128" t="s">
        <v>157</v>
      </c>
      <c r="C334" s="118">
        <f>D334</f>
        <v>0</v>
      </c>
      <c r="D334" s="90"/>
      <c r="E334" s="79"/>
      <c r="F334" s="79"/>
      <c r="G334" s="79"/>
      <c r="H334" s="92">
        <f>G334</f>
        <v>0</v>
      </c>
      <c r="I334" s="92"/>
      <c r="J334" s="92">
        <f>G334-I334</f>
        <v>0</v>
      </c>
      <c r="K334" s="86"/>
    </row>
    <row r="335" spans="1:11" ht="15" hidden="1">
      <c r="A335" s="155" t="s">
        <v>158</v>
      </c>
      <c r="B335" s="128" t="s">
        <v>159</v>
      </c>
      <c r="C335" s="118">
        <f>D335</f>
        <v>0</v>
      </c>
      <c r="D335" s="90"/>
      <c r="E335" s="79"/>
      <c r="F335" s="79"/>
      <c r="G335" s="79"/>
      <c r="H335" s="92">
        <f>G335</f>
        <v>0</v>
      </c>
      <c r="I335" s="92"/>
      <c r="J335" s="92">
        <f>G335-I335</f>
        <v>0</v>
      </c>
      <c r="K335" s="86"/>
    </row>
    <row r="336" spans="1:11" ht="24" hidden="1">
      <c r="A336" s="155" t="s">
        <v>160</v>
      </c>
      <c r="B336" s="129" t="s">
        <v>161</v>
      </c>
      <c r="C336" s="118">
        <f>D336</f>
        <v>0</v>
      </c>
      <c r="D336" s="90"/>
      <c r="E336" s="79"/>
      <c r="F336" s="79"/>
      <c r="G336" s="79"/>
      <c r="H336" s="92">
        <f>G336</f>
        <v>0</v>
      </c>
      <c r="I336" s="92"/>
      <c r="J336" s="92">
        <f>G336-I336</f>
        <v>0</v>
      </c>
      <c r="K336" s="86"/>
    </row>
    <row r="337" spans="1:11" ht="24" hidden="1">
      <c r="A337" s="156" t="s">
        <v>310</v>
      </c>
      <c r="B337" s="127" t="s">
        <v>163</v>
      </c>
      <c r="C337" s="23"/>
      <c r="D337" s="72">
        <f t="shared" ref="D337:K337" si="145">D338+D339</f>
        <v>0</v>
      </c>
      <c r="E337" s="72">
        <f t="shared" si="145"/>
        <v>0</v>
      </c>
      <c r="F337" s="72">
        <f t="shared" si="145"/>
        <v>0</v>
      </c>
      <c r="G337" s="72">
        <f t="shared" si="145"/>
        <v>0</v>
      </c>
      <c r="H337" s="72">
        <f t="shared" si="145"/>
        <v>0</v>
      </c>
      <c r="I337" s="72">
        <f t="shared" si="145"/>
        <v>0</v>
      </c>
      <c r="J337" s="72">
        <f t="shared" si="145"/>
        <v>0</v>
      </c>
      <c r="K337" s="121">
        <f t="shared" si="145"/>
        <v>0</v>
      </c>
    </row>
    <row r="338" spans="1:11" ht="15">
      <c r="A338" s="155" t="s">
        <v>164</v>
      </c>
      <c r="B338" s="128" t="s">
        <v>165</v>
      </c>
      <c r="C338" s="118"/>
      <c r="D338" s="90"/>
      <c r="E338" s="79"/>
      <c r="F338" s="79"/>
      <c r="G338" s="79"/>
      <c r="H338" s="90"/>
      <c r="I338" s="92"/>
      <c r="J338" s="92">
        <f>G338-I338</f>
        <v>0</v>
      </c>
      <c r="K338" s="86"/>
    </row>
    <row r="339" spans="1:11" ht="15">
      <c r="A339" s="155" t="s">
        <v>166</v>
      </c>
      <c r="B339" s="128" t="s">
        <v>167</v>
      </c>
      <c r="C339" s="118"/>
      <c r="D339" s="90"/>
      <c r="E339" s="79"/>
      <c r="F339" s="79"/>
      <c r="G339" s="79"/>
      <c r="H339" s="90"/>
      <c r="I339" s="92"/>
      <c r="J339" s="92">
        <f>G339-I339</f>
        <v>0</v>
      </c>
      <c r="K339" s="86"/>
    </row>
    <row r="340" spans="1:11" ht="24">
      <c r="A340" s="155" t="s">
        <v>168</v>
      </c>
      <c r="B340" s="128" t="s">
        <v>169</v>
      </c>
      <c r="C340" s="90">
        <f>E340</f>
        <v>3248600</v>
      </c>
      <c r="D340" s="90">
        <f>F340</f>
        <v>3241600</v>
      </c>
      <c r="E340" s="79">
        <f>3106600+2000+140000</f>
        <v>3248600</v>
      </c>
      <c r="F340" s="79">
        <f>3106600+1000+134000</f>
        <v>3241600</v>
      </c>
      <c r="G340" s="79">
        <f>2893961+132485</f>
        <v>3026446</v>
      </c>
      <c r="H340" s="79">
        <f>G340</f>
        <v>3026446</v>
      </c>
      <c r="I340" s="79">
        <f>2893961+132485</f>
        <v>3026446</v>
      </c>
      <c r="J340" s="92">
        <f>G340-I340</f>
        <v>0</v>
      </c>
      <c r="K340" s="79">
        <f>6803882+158712+496+102766+71</f>
        <v>7065927</v>
      </c>
    </row>
    <row r="341" spans="1:11" ht="48">
      <c r="A341" s="152" t="s">
        <v>311</v>
      </c>
      <c r="B341" s="169"/>
      <c r="C341" s="68">
        <f t="shared" ref="C341:I341" si="146">C342+C352</f>
        <v>22364119</v>
      </c>
      <c r="D341" s="68">
        <f t="shared" si="146"/>
        <v>38672327</v>
      </c>
      <c r="E341" s="68">
        <f t="shared" si="146"/>
        <v>36452192</v>
      </c>
      <c r="F341" s="68">
        <f t="shared" si="146"/>
        <v>38672327</v>
      </c>
      <c r="G341" s="68">
        <f t="shared" si="146"/>
        <v>26429412</v>
      </c>
      <c r="H341" s="68">
        <f t="shared" si="146"/>
        <v>26429412</v>
      </c>
      <c r="I341" s="68">
        <f t="shared" si="146"/>
        <v>26429412</v>
      </c>
      <c r="J341" s="68">
        <f>J342+J352</f>
        <v>0</v>
      </c>
      <c r="K341" s="68">
        <f>K342+K352</f>
        <v>30951888</v>
      </c>
    </row>
    <row r="342" spans="1:11" ht="48">
      <c r="A342" s="153" t="s">
        <v>173</v>
      </c>
      <c r="B342" s="126" t="s">
        <v>174</v>
      </c>
      <c r="C342" s="70">
        <f t="shared" ref="C342:I342" si="147">C343+C346+C349+C350+C351</f>
        <v>22364119</v>
      </c>
      <c r="D342" s="70">
        <f t="shared" si="147"/>
        <v>38672327</v>
      </c>
      <c r="E342" s="70">
        <f t="shared" si="147"/>
        <v>36452192</v>
      </c>
      <c r="F342" s="70">
        <f t="shared" si="147"/>
        <v>38672327</v>
      </c>
      <c r="G342" s="70">
        <f t="shared" si="147"/>
        <v>26429412</v>
      </c>
      <c r="H342" s="70">
        <f t="shared" si="147"/>
        <v>26429412</v>
      </c>
      <c r="I342" s="70">
        <f t="shared" si="147"/>
        <v>26429412</v>
      </c>
      <c r="J342" s="70">
        <f>J343+J346+J349+J350+J351</f>
        <v>0</v>
      </c>
      <c r="K342" s="122">
        <f>K343+K346+K349+K350+K351</f>
        <v>30951888</v>
      </c>
    </row>
    <row r="343" spans="1:11" ht="24">
      <c r="A343" s="156" t="s">
        <v>175</v>
      </c>
      <c r="B343" s="127" t="s">
        <v>176</v>
      </c>
      <c r="C343" s="23"/>
      <c r="D343" s="72">
        <f>D344+D345</f>
        <v>14107776</v>
      </c>
      <c r="E343" s="72">
        <f t="shared" ref="E343:K343" si="148">E344+E345</f>
        <v>14088073</v>
      </c>
      <c r="F343" s="72">
        <f t="shared" si="148"/>
        <v>14107776</v>
      </c>
      <c r="G343" s="72">
        <f t="shared" si="148"/>
        <v>8280184</v>
      </c>
      <c r="H343" s="72">
        <f t="shared" si="148"/>
        <v>8280184</v>
      </c>
      <c r="I343" s="72">
        <f t="shared" si="148"/>
        <v>8280184</v>
      </c>
      <c r="J343" s="72">
        <f>J344+J345</f>
        <v>0</v>
      </c>
      <c r="K343" s="121">
        <f t="shared" si="148"/>
        <v>124051</v>
      </c>
    </row>
    <row r="344" spans="1:11" ht="24">
      <c r="A344" s="155" t="s">
        <v>177</v>
      </c>
      <c r="B344" s="128" t="s">
        <v>178</v>
      </c>
      <c r="C344" s="26"/>
      <c r="D344" s="90"/>
      <c r="E344" s="79"/>
      <c r="F344" s="79"/>
      <c r="G344" s="79"/>
      <c r="H344" s="79">
        <f>G344</f>
        <v>0</v>
      </c>
      <c r="I344" s="79"/>
      <c r="J344" s="79">
        <f>G344-I344</f>
        <v>0</v>
      </c>
      <c r="K344" s="86"/>
    </row>
    <row r="345" spans="1:11" ht="24">
      <c r="A345" s="155" t="s">
        <v>179</v>
      </c>
      <c r="B345" s="128" t="s">
        <v>180</v>
      </c>
      <c r="C345" s="90">
        <f>E345</f>
        <v>14088073</v>
      </c>
      <c r="D345" s="90">
        <f>F345</f>
        <v>14107776</v>
      </c>
      <c r="E345" s="79">
        <f>'[1]70,03,30,bl'!L17</f>
        <v>14088073</v>
      </c>
      <c r="F345" s="79">
        <f>'[1]70,03,30,bl'!M17</f>
        <v>14107776</v>
      </c>
      <c r="G345" s="79">
        <f>'[1]70,03,30,bl'!N17</f>
        <v>8280184</v>
      </c>
      <c r="H345" s="79">
        <f>'[1]70,03,30,bl'!O17</f>
        <v>8280184</v>
      </c>
      <c r="I345" s="79">
        <f>'[1]70,03,30,bl'!P17</f>
        <v>8280184</v>
      </c>
      <c r="J345" s="79">
        <f>'[1]70,03,30,bl'!Q17</f>
        <v>0</v>
      </c>
      <c r="K345" s="79">
        <f>'[1]70,03,30,bl'!R17</f>
        <v>124051</v>
      </c>
    </row>
    <row r="346" spans="1:11" ht="36">
      <c r="A346" s="156" t="s">
        <v>312</v>
      </c>
      <c r="B346" s="127" t="s">
        <v>182</v>
      </c>
      <c r="C346" s="72">
        <f>C347+C348</f>
        <v>4823000</v>
      </c>
      <c r="D346" s="72">
        <f>D347+D348</f>
        <v>12708000</v>
      </c>
      <c r="E346" s="72">
        <f>E347+E348</f>
        <v>4823000</v>
      </c>
      <c r="F346" s="72">
        <f t="shared" ref="F346:K346" si="149">F347+F348</f>
        <v>12708000</v>
      </c>
      <c r="G346" s="72">
        <f t="shared" si="149"/>
        <v>11717096</v>
      </c>
      <c r="H346" s="72">
        <f t="shared" si="149"/>
        <v>11717096</v>
      </c>
      <c r="I346" s="72">
        <f t="shared" si="149"/>
        <v>11717096</v>
      </c>
      <c r="J346" s="72">
        <f t="shared" si="149"/>
        <v>0</v>
      </c>
      <c r="K346" s="72">
        <f t="shared" si="149"/>
        <v>11717096</v>
      </c>
    </row>
    <row r="347" spans="1:11" ht="20.100000000000001" customHeight="1">
      <c r="A347" s="155" t="s">
        <v>183</v>
      </c>
      <c r="B347" s="128" t="s">
        <v>184</v>
      </c>
      <c r="C347" s="179">
        <f t="shared" ref="C347:D351" si="150">E347</f>
        <v>4823000</v>
      </c>
      <c r="D347" s="177">
        <f t="shared" si="150"/>
        <v>12708000</v>
      </c>
      <c r="E347" s="178">
        <f>373000+4450000</f>
        <v>4823000</v>
      </c>
      <c r="F347" s="178">
        <f>373000+12335000</f>
        <v>12708000</v>
      </c>
      <c r="G347" s="178">
        <f>143000+11574096</f>
        <v>11717096</v>
      </c>
      <c r="H347" s="178">
        <f>G347</f>
        <v>11717096</v>
      </c>
      <c r="I347" s="178">
        <f>143000+11574096</f>
        <v>11717096</v>
      </c>
      <c r="J347" s="137">
        <f>G347-I347</f>
        <v>0</v>
      </c>
      <c r="K347" s="86">
        <f>143000+11574096</f>
        <v>11717096</v>
      </c>
    </row>
    <row r="348" spans="1:11" ht="15">
      <c r="A348" s="155" t="s">
        <v>185</v>
      </c>
      <c r="B348" s="128" t="s">
        <v>186</v>
      </c>
      <c r="C348" s="179"/>
      <c r="D348" s="177"/>
      <c r="E348" s="178"/>
      <c r="F348" s="178"/>
      <c r="G348" s="178"/>
      <c r="H348" s="178"/>
      <c r="I348" s="178"/>
      <c r="J348" s="178">
        <f>G348-I348</f>
        <v>0</v>
      </c>
      <c r="K348" s="86"/>
    </row>
    <row r="349" spans="1:11" ht="24">
      <c r="A349" s="155" t="s">
        <v>187</v>
      </c>
      <c r="B349" s="128" t="s">
        <v>188</v>
      </c>
      <c r="C349" s="179">
        <f t="shared" si="150"/>
        <v>2312519</v>
      </c>
      <c r="D349" s="177">
        <f t="shared" si="150"/>
        <v>1157519</v>
      </c>
      <c r="E349" s="178">
        <v>2312519</v>
      </c>
      <c r="F349" s="178">
        <v>1157519</v>
      </c>
      <c r="G349" s="178">
        <v>57198</v>
      </c>
      <c r="H349" s="178">
        <f>G349</f>
        <v>57198</v>
      </c>
      <c r="I349" s="178">
        <v>57198</v>
      </c>
      <c r="J349" s="137">
        <f>G349-I349</f>
        <v>0</v>
      </c>
      <c r="K349" s="86">
        <v>1671514</v>
      </c>
    </row>
    <row r="350" spans="1:11" ht="24">
      <c r="A350" s="155" t="s">
        <v>189</v>
      </c>
      <c r="B350" s="128" t="s">
        <v>190</v>
      </c>
      <c r="C350" s="179"/>
      <c r="D350" s="177"/>
      <c r="E350" s="178"/>
      <c r="F350" s="178"/>
      <c r="G350" s="178"/>
      <c r="H350" s="178">
        <f>G350</f>
        <v>0</v>
      </c>
      <c r="I350" s="178"/>
      <c r="J350" s="178">
        <f>G350-I350</f>
        <v>0</v>
      </c>
      <c r="K350" s="86"/>
    </row>
    <row r="351" spans="1:11" ht="36">
      <c r="A351" s="155" t="s">
        <v>191</v>
      </c>
      <c r="B351" s="128" t="s">
        <v>192</v>
      </c>
      <c r="C351" s="180">
        <f t="shared" si="150"/>
        <v>15228600</v>
      </c>
      <c r="D351" s="177">
        <f t="shared" si="150"/>
        <v>10699032</v>
      </c>
      <c r="E351" s="178">
        <f>9401600+3302000+2525000</f>
        <v>15228600</v>
      </c>
      <c r="F351" s="178">
        <f>4832368+3302000+2525000+39664</f>
        <v>10699032</v>
      </c>
      <c r="G351" s="178">
        <f>2061053+3112034+1191812+10035</f>
        <v>6374934</v>
      </c>
      <c r="H351" s="178">
        <f>G351</f>
        <v>6374934</v>
      </c>
      <c r="I351" s="178">
        <f>2061053+3112034+1191812+10035</f>
        <v>6374934</v>
      </c>
      <c r="J351" s="137">
        <f>H351-I351</f>
        <v>0</v>
      </c>
      <c r="K351" s="86">
        <f>3002354+14420366+10035+6472</f>
        <v>17439227</v>
      </c>
    </row>
    <row r="352" spans="1:11" ht="24" hidden="1">
      <c r="A352" s="153" t="s">
        <v>193</v>
      </c>
      <c r="B352" s="126" t="s">
        <v>194</v>
      </c>
      <c r="C352" s="119">
        <f>D352</f>
        <v>0</v>
      </c>
      <c r="D352" s="70">
        <f>D353+D354+D357</f>
        <v>0</v>
      </c>
      <c r="E352" s="70">
        <f t="shared" ref="E352:J352" si="151">E353+E354+E357</f>
        <v>0</v>
      </c>
      <c r="F352" s="70">
        <f t="shared" si="151"/>
        <v>0</v>
      </c>
      <c r="G352" s="70">
        <f t="shared" si="151"/>
        <v>0</v>
      </c>
      <c r="H352" s="70">
        <f t="shared" si="151"/>
        <v>0</v>
      </c>
      <c r="I352" s="70">
        <f t="shared" si="151"/>
        <v>0</v>
      </c>
      <c r="J352" s="70">
        <f t="shared" si="151"/>
        <v>0</v>
      </c>
      <c r="K352" s="122">
        <f>K353+K354+K357</f>
        <v>0</v>
      </c>
    </row>
    <row r="353" spans="1:11" ht="15" hidden="1">
      <c r="A353" s="155" t="s">
        <v>195</v>
      </c>
      <c r="B353" s="129" t="s">
        <v>196</v>
      </c>
      <c r="C353" s="123">
        <f>E353</f>
        <v>0</v>
      </c>
      <c r="D353" s="90">
        <f>F353</f>
        <v>0</v>
      </c>
      <c r="E353" s="75">
        <v>0</v>
      </c>
      <c r="F353" s="75">
        <v>0</v>
      </c>
      <c r="G353" s="75">
        <v>0</v>
      </c>
      <c r="H353" s="75">
        <f>G353</f>
        <v>0</v>
      </c>
      <c r="I353" s="75">
        <f>G353</f>
        <v>0</v>
      </c>
      <c r="J353" s="81">
        <f>G353-I353</f>
        <v>0</v>
      </c>
      <c r="K353" s="76"/>
    </row>
    <row r="354" spans="1:11" ht="36" hidden="1">
      <c r="A354" s="156" t="s">
        <v>313</v>
      </c>
      <c r="B354" s="127" t="s">
        <v>198</v>
      </c>
      <c r="C354" s="23"/>
      <c r="D354" s="72">
        <f>D355+D356</f>
        <v>0</v>
      </c>
      <c r="E354" s="72">
        <f t="shared" ref="E354:K354" si="152">E355+E356</f>
        <v>0</v>
      </c>
      <c r="F354" s="72">
        <f t="shared" si="152"/>
        <v>0</v>
      </c>
      <c r="G354" s="72">
        <f t="shared" si="152"/>
        <v>0</v>
      </c>
      <c r="H354" s="72">
        <f t="shared" si="152"/>
        <v>0</v>
      </c>
      <c r="I354" s="72">
        <f t="shared" si="152"/>
        <v>0</v>
      </c>
      <c r="J354" s="72">
        <f t="shared" si="152"/>
        <v>0</v>
      </c>
      <c r="K354" s="121">
        <f t="shared" si="152"/>
        <v>0</v>
      </c>
    </row>
    <row r="355" spans="1:11" ht="15" hidden="1">
      <c r="A355" s="155" t="s">
        <v>199</v>
      </c>
      <c r="B355" s="128" t="s">
        <v>200</v>
      </c>
      <c r="C355" s="26"/>
      <c r="D355" s="90"/>
      <c r="E355" s="79"/>
      <c r="F355" s="79"/>
      <c r="G355" s="79"/>
      <c r="H355" s="79">
        <f>G355</f>
        <v>0</v>
      </c>
      <c r="I355" s="79"/>
      <c r="J355" s="79">
        <f>G355-I355</f>
        <v>0</v>
      </c>
      <c r="K355" s="86"/>
    </row>
    <row r="356" spans="1:11" ht="24" hidden="1">
      <c r="A356" s="155" t="s">
        <v>201</v>
      </c>
      <c r="B356" s="128" t="s">
        <v>202</v>
      </c>
      <c r="C356" s="26"/>
      <c r="D356" s="90"/>
      <c r="E356" s="79"/>
      <c r="F356" s="79"/>
      <c r="G356" s="79"/>
      <c r="H356" s="79">
        <f>G356</f>
        <v>0</v>
      </c>
      <c r="I356" s="79"/>
      <c r="J356" s="79">
        <f>G356-I356</f>
        <v>0</v>
      </c>
      <c r="K356" s="86"/>
    </row>
    <row r="357" spans="1:11" ht="24" hidden="1">
      <c r="A357" s="155" t="s">
        <v>203</v>
      </c>
      <c r="B357" s="128" t="s">
        <v>204</v>
      </c>
      <c r="C357" s="26"/>
      <c r="D357" s="79"/>
      <c r="E357" s="79"/>
      <c r="F357" s="79"/>
      <c r="G357" s="79"/>
      <c r="H357" s="79">
        <f>G357</f>
        <v>0</v>
      </c>
      <c r="I357" s="79"/>
      <c r="J357" s="79">
        <f>G357-I357</f>
        <v>0</v>
      </c>
      <c r="K357" s="86"/>
    </row>
    <row r="358" spans="1:11" ht="48">
      <c r="A358" s="152" t="s">
        <v>314</v>
      </c>
      <c r="B358" s="167" t="s">
        <v>206</v>
      </c>
      <c r="C358" s="68">
        <f>C359+C365+C369+C374+C382</f>
        <v>150395865</v>
      </c>
      <c r="D358" s="124">
        <f>D359+D365+D369+D374+D382</f>
        <v>81610242</v>
      </c>
      <c r="E358" s="68">
        <f t="shared" ref="E358:K358" si="153">E359+E365+E369+E374+E382</f>
        <v>150395865</v>
      </c>
      <c r="F358" s="68">
        <f t="shared" si="153"/>
        <v>81561984</v>
      </c>
      <c r="G358" s="68">
        <f t="shared" si="153"/>
        <v>66727247</v>
      </c>
      <c r="H358" s="68">
        <f t="shared" si="153"/>
        <v>66727247</v>
      </c>
      <c r="I358" s="68">
        <f t="shared" si="153"/>
        <v>66727247</v>
      </c>
      <c r="J358" s="124">
        <f>J359+J365+J369+J374+J382</f>
        <v>0</v>
      </c>
      <c r="K358" s="125">
        <f t="shared" si="153"/>
        <v>10709146</v>
      </c>
    </row>
    <row r="359" spans="1:11" ht="36" hidden="1">
      <c r="A359" s="153" t="s">
        <v>207</v>
      </c>
      <c r="B359" s="126" t="s">
        <v>208</v>
      </c>
      <c r="C359" s="126"/>
      <c r="D359" s="70">
        <f>D360</f>
        <v>0</v>
      </c>
      <c r="E359" s="70">
        <f t="shared" ref="E359:K359" si="154">E360</f>
        <v>0</v>
      </c>
      <c r="F359" s="70">
        <f t="shared" si="154"/>
        <v>0</v>
      </c>
      <c r="G359" s="70">
        <f t="shared" si="154"/>
        <v>0</v>
      </c>
      <c r="H359" s="70">
        <f t="shared" si="154"/>
        <v>0</v>
      </c>
      <c r="I359" s="70">
        <f t="shared" si="154"/>
        <v>0</v>
      </c>
      <c r="J359" s="70">
        <f t="shared" si="154"/>
        <v>0</v>
      </c>
      <c r="K359" s="122">
        <f t="shared" si="154"/>
        <v>0</v>
      </c>
    </row>
    <row r="360" spans="1:11" ht="48" hidden="1">
      <c r="A360" s="156" t="s">
        <v>291</v>
      </c>
      <c r="B360" s="127" t="s">
        <v>210</v>
      </c>
      <c r="C360" s="127"/>
      <c r="D360" s="72">
        <f>D361+D362+D363+D364</f>
        <v>0</v>
      </c>
      <c r="E360" s="72">
        <f t="shared" ref="E360:K360" si="155">E361+E362+E363+E364</f>
        <v>0</v>
      </c>
      <c r="F360" s="72">
        <f t="shared" si="155"/>
        <v>0</v>
      </c>
      <c r="G360" s="72">
        <f t="shared" si="155"/>
        <v>0</v>
      </c>
      <c r="H360" s="72">
        <f t="shared" si="155"/>
        <v>0</v>
      </c>
      <c r="I360" s="72">
        <f t="shared" si="155"/>
        <v>0</v>
      </c>
      <c r="J360" s="72">
        <f>J361+J362+J363+J364</f>
        <v>0</v>
      </c>
      <c r="K360" s="121">
        <f t="shared" si="155"/>
        <v>0</v>
      </c>
    </row>
    <row r="361" spans="1:11" ht="24" hidden="1">
      <c r="A361" s="155" t="s">
        <v>211</v>
      </c>
      <c r="B361" s="128" t="s">
        <v>212</v>
      </c>
      <c r="C361" s="128"/>
      <c r="D361" s="90"/>
      <c r="E361" s="79"/>
      <c r="F361" s="79"/>
      <c r="G361" s="79"/>
      <c r="H361" s="92"/>
      <c r="I361" s="92"/>
      <c r="J361" s="92">
        <f>G361-I361</f>
        <v>0</v>
      </c>
      <c r="K361" s="86"/>
    </row>
    <row r="362" spans="1:11" ht="24" hidden="1">
      <c r="A362" s="155" t="s">
        <v>213</v>
      </c>
      <c r="B362" s="128" t="s">
        <v>214</v>
      </c>
      <c r="C362" s="128"/>
      <c r="D362" s="90"/>
      <c r="E362" s="79"/>
      <c r="F362" s="79"/>
      <c r="G362" s="79"/>
      <c r="H362" s="92"/>
      <c r="I362" s="92"/>
      <c r="J362" s="92">
        <f>G362-I362</f>
        <v>0</v>
      </c>
      <c r="K362" s="86"/>
    </row>
    <row r="363" spans="1:11" ht="24" hidden="1">
      <c r="A363" s="155" t="s">
        <v>215</v>
      </c>
      <c r="B363" s="128" t="s">
        <v>216</v>
      </c>
      <c r="C363" s="128"/>
      <c r="D363" s="90"/>
      <c r="E363" s="79"/>
      <c r="F363" s="79"/>
      <c r="G363" s="79"/>
      <c r="H363" s="92"/>
      <c r="I363" s="92"/>
      <c r="J363" s="92">
        <f>G363-I363</f>
        <v>0</v>
      </c>
      <c r="K363" s="86"/>
    </row>
    <row r="364" spans="1:11" ht="24" hidden="1">
      <c r="A364" s="155" t="s">
        <v>217</v>
      </c>
      <c r="B364" s="128" t="s">
        <v>218</v>
      </c>
      <c r="C364" s="128"/>
      <c r="D364" s="90"/>
      <c r="E364" s="79"/>
      <c r="F364" s="79"/>
      <c r="G364" s="79"/>
      <c r="H364" s="92"/>
      <c r="I364" s="92"/>
      <c r="J364" s="92">
        <f>G364-I364</f>
        <v>0</v>
      </c>
      <c r="K364" s="86"/>
    </row>
    <row r="365" spans="1:11" ht="24" hidden="1">
      <c r="A365" s="153" t="s">
        <v>315</v>
      </c>
      <c r="B365" s="126" t="s">
        <v>220</v>
      </c>
      <c r="C365" s="126"/>
      <c r="D365" s="70">
        <f>D366+D367+D368</f>
        <v>0</v>
      </c>
      <c r="E365" s="70">
        <f t="shared" ref="E365:K365" si="156">E366+E367+E368</f>
        <v>0</v>
      </c>
      <c r="F365" s="70">
        <f t="shared" si="156"/>
        <v>0</v>
      </c>
      <c r="G365" s="70">
        <f t="shared" si="156"/>
        <v>0</v>
      </c>
      <c r="H365" s="70">
        <f t="shared" si="156"/>
        <v>0</v>
      </c>
      <c r="I365" s="70">
        <f t="shared" si="156"/>
        <v>0</v>
      </c>
      <c r="J365" s="70">
        <f t="shared" si="156"/>
        <v>0</v>
      </c>
      <c r="K365" s="122">
        <f t="shared" si="156"/>
        <v>0</v>
      </c>
    </row>
    <row r="366" spans="1:11" ht="15" hidden="1">
      <c r="A366" s="155" t="s">
        <v>221</v>
      </c>
      <c r="B366" s="129" t="s">
        <v>222</v>
      </c>
      <c r="C366" s="129"/>
      <c r="D366" s="90"/>
      <c r="E366" s="79"/>
      <c r="F366" s="79"/>
      <c r="G366" s="79"/>
      <c r="H366" s="130"/>
      <c r="I366" s="79"/>
      <c r="J366" s="79">
        <f>G366-I366</f>
        <v>0</v>
      </c>
      <c r="K366" s="86"/>
    </row>
    <row r="367" spans="1:11" ht="15" hidden="1">
      <c r="A367" s="155" t="s">
        <v>223</v>
      </c>
      <c r="B367" s="128" t="s">
        <v>224</v>
      </c>
      <c r="C367" s="128"/>
      <c r="D367" s="90"/>
      <c r="E367" s="79"/>
      <c r="F367" s="79"/>
      <c r="G367" s="79"/>
      <c r="H367" s="130"/>
      <c r="I367" s="79"/>
      <c r="J367" s="79">
        <f>G367-I367</f>
        <v>0</v>
      </c>
      <c r="K367" s="86"/>
    </row>
    <row r="368" spans="1:11" ht="24" hidden="1">
      <c r="A368" s="155" t="s">
        <v>225</v>
      </c>
      <c r="B368" s="128" t="s">
        <v>226</v>
      </c>
      <c r="C368" s="128"/>
      <c r="D368" s="90"/>
      <c r="E368" s="79"/>
      <c r="F368" s="79"/>
      <c r="G368" s="79"/>
      <c r="H368" s="130"/>
      <c r="I368" s="79"/>
      <c r="J368" s="79">
        <f>G368-I368</f>
        <v>0</v>
      </c>
      <c r="K368" s="86"/>
    </row>
    <row r="369" spans="1:11" ht="36" hidden="1">
      <c r="A369" s="153" t="s">
        <v>316</v>
      </c>
      <c r="B369" s="126" t="s">
        <v>228</v>
      </c>
      <c r="C369" s="126"/>
      <c r="D369" s="70">
        <f>D370</f>
        <v>0</v>
      </c>
      <c r="E369" s="70">
        <f t="shared" ref="E369:K369" si="157">E370</f>
        <v>0</v>
      </c>
      <c r="F369" s="70">
        <f t="shared" si="157"/>
        <v>0</v>
      </c>
      <c r="G369" s="70">
        <f t="shared" si="157"/>
        <v>0</v>
      </c>
      <c r="H369" s="70">
        <f t="shared" si="157"/>
        <v>0</v>
      </c>
      <c r="I369" s="70">
        <f t="shared" si="157"/>
        <v>0</v>
      </c>
      <c r="J369" s="70">
        <f t="shared" si="157"/>
        <v>0</v>
      </c>
      <c r="K369" s="122">
        <f t="shared" si="157"/>
        <v>0</v>
      </c>
    </row>
    <row r="370" spans="1:11" ht="36" hidden="1">
      <c r="A370" s="156" t="s">
        <v>229</v>
      </c>
      <c r="B370" s="127" t="s">
        <v>230</v>
      </c>
      <c r="C370" s="127"/>
      <c r="D370" s="72">
        <f>D371+D372+D373</f>
        <v>0</v>
      </c>
      <c r="E370" s="72">
        <f t="shared" ref="E370:K370" si="158">E371+E372+E373</f>
        <v>0</v>
      </c>
      <c r="F370" s="72">
        <f t="shared" si="158"/>
        <v>0</v>
      </c>
      <c r="G370" s="72">
        <f t="shared" si="158"/>
        <v>0</v>
      </c>
      <c r="H370" s="72">
        <f t="shared" si="158"/>
        <v>0</v>
      </c>
      <c r="I370" s="72">
        <f t="shared" si="158"/>
        <v>0</v>
      </c>
      <c r="J370" s="72">
        <f>J371+J372+J373</f>
        <v>0</v>
      </c>
      <c r="K370" s="121">
        <f t="shared" si="158"/>
        <v>0</v>
      </c>
    </row>
    <row r="371" spans="1:11" ht="24" hidden="1">
      <c r="A371" s="155" t="s">
        <v>231</v>
      </c>
      <c r="B371" s="129" t="s">
        <v>232</v>
      </c>
      <c r="C371" s="129"/>
      <c r="D371" s="90"/>
      <c r="E371" s="79"/>
      <c r="F371" s="79"/>
      <c r="G371" s="79"/>
      <c r="H371" s="90">
        <f>G371</f>
        <v>0</v>
      </c>
      <c r="I371" s="79"/>
      <c r="J371" s="79">
        <f>G371-I371</f>
        <v>0</v>
      </c>
      <c r="K371" s="86"/>
    </row>
    <row r="372" spans="1:11" ht="15" hidden="1">
      <c r="A372" s="155" t="s">
        <v>233</v>
      </c>
      <c r="B372" s="129" t="s">
        <v>234</v>
      </c>
      <c r="C372" s="129"/>
      <c r="D372" s="90"/>
      <c r="E372" s="79"/>
      <c r="F372" s="79"/>
      <c r="G372" s="79"/>
      <c r="H372" s="90">
        <f>G372</f>
        <v>0</v>
      </c>
      <c r="I372" s="79"/>
      <c r="J372" s="79">
        <f>G372-I372</f>
        <v>0</v>
      </c>
      <c r="K372" s="86"/>
    </row>
    <row r="373" spans="1:11" ht="24" hidden="1">
      <c r="A373" s="155" t="s">
        <v>235</v>
      </c>
      <c r="B373" s="128" t="s">
        <v>236</v>
      </c>
      <c r="C373" s="128"/>
      <c r="D373" s="90"/>
      <c r="E373" s="79"/>
      <c r="F373" s="105"/>
      <c r="G373" s="79"/>
      <c r="H373" s="90">
        <f>G373</f>
        <v>0</v>
      </c>
      <c r="I373" s="79"/>
      <c r="J373" s="79">
        <f>G373-I373</f>
        <v>0</v>
      </c>
      <c r="K373" s="86"/>
    </row>
    <row r="374" spans="1:11" ht="24">
      <c r="A374" s="153" t="s">
        <v>237</v>
      </c>
      <c r="B374" s="126" t="s">
        <v>238</v>
      </c>
      <c r="C374" s="70">
        <f t="shared" ref="C374:K374" si="159">C375+C379+C381</f>
        <v>150395865</v>
      </c>
      <c r="D374" s="70">
        <f t="shared" si="159"/>
        <v>81610242</v>
      </c>
      <c r="E374" s="70">
        <f t="shared" si="159"/>
        <v>150395865</v>
      </c>
      <c r="F374" s="70">
        <f t="shared" si="159"/>
        <v>81561984</v>
      </c>
      <c r="G374" s="70">
        <f t="shared" si="159"/>
        <v>66727247</v>
      </c>
      <c r="H374" s="70">
        <f t="shared" si="159"/>
        <v>66727247</v>
      </c>
      <c r="I374" s="70">
        <f t="shared" si="159"/>
        <v>66727247</v>
      </c>
      <c r="J374" s="131">
        <f>J375+J379+J381</f>
        <v>0</v>
      </c>
      <c r="K374" s="122">
        <f t="shared" si="159"/>
        <v>10709146</v>
      </c>
    </row>
    <row r="375" spans="1:11" ht="24">
      <c r="A375" s="156" t="s">
        <v>239</v>
      </c>
      <c r="B375" s="127" t="s">
        <v>240</v>
      </c>
      <c r="C375" s="72">
        <f t="shared" ref="C375:K375" si="160">C376+C377+C378</f>
        <v>136839365</v>
      </c>
      <c r="D375" s="72">
        <f t="shared" si="160"/>
        <v>70618000</v>
      </c>
      <c r="E375" s="72">
        <f t="shared" si="160"/>
        <v>136839365</v>
      </c>
      <c r="F375" s="72">
        <f t="shared" si="160"/>
        <v>70569742</v>
      </c>
      <c r="G375" s="72">
        <f t="shared" si="160"/>
        <v>58122040</v>
      </c>
      <c r="H375" s="72">
        <f t="shared" si="160"/>
        <v>58122040</v>
      </c>
      <c r="I375" s="72">
        <f t="shared" si="160"/>
        <v>58122040</v>
      </c>
      <c r="J375" s="72">
        <f>J376+J377+J378</f>
        <v>0</v>
      </c>
      <c r="K375" s="121">
        <f t="shared" si="160"/>
        <v>6597318</v>
      </c>
    </row>
    <row r="376" spans="1:11" ht="15">
      <c r="A376" s="155" t="s">
        <v>241</v>
      </c>
      <c r="B376" s="128" t="s">
        <v>242</v>
      </c>
      <c r="C376" s="90">
        <f t="shared" ref="C376:D378" si="161">E376</f>
        <v>113347000</v>
      </c>
      <c r="D376" s="90">
        <f t="shared" si="161"/>
        <v>56101000</v>
      </c>
      <c r="E376" s="79">
        <f>105001000+8346000</f>
        <v>113347000</v>
      </c>
      <c r="F376" s="79">
        <f>55001000+1100000</f>
        <v>56101000</v>
      </c>
      <c r="G376" s="79">
        <f>44273210+919340</f>
        <v>45192550</v>
      </c>
      <c r="H376" s="79">
        <f>G376</f>
        <v>45192550</v>
      </c>
      <c r="I376" s="79">
        <f>44273210+919340</f>
        <v>45192550</v>
      </c>
      <c r="J376" s="176">
        <f>G376-I376</f>
        <v>0</v>
      </c>
      <c r="K376" s="86">
        <f>0</f>
        <v>0</v>
      </c>
    </row>
    <row r="377" spans="1:11" ht="15">
      <c r="A377" s="155" t="s">
        <v>243</v>
      </c>
      <c r="B377" s="128" t="s">
        <v>244</v>
      </c>
      <c r="C377" s="132">
        <f t="shared" si="161"/>
        <v>14956365</v>
      </c>
      <c r="D377" s="132">
        <f t="shared" si="161"/>
        <v>9035000</v>
      </c>
      <c r="E377" s="79">
        <f>9000000+5956365</f>
        <v>14956365</v>
      </c>
      <c r="F377" s="79">
        <f>9000000+35000</f>
        <v>9035000</v>
      </c>
      <c r="G377" s="79">
        <f>8761375+27430</f>
        <v>8788805</v>
      </c>
      <c r="H377" s="79">
        <f>G377</f>
        <v>8788805</v>
      </c>
      <c r="I377" s="79">
        <f>8761375+27430</f>
        <v>8788805</v>
      </c>
      <c r="J377" s="137">
        <f>G377-I377</f>
        <v>0</v>
      </c>
      <c r="K377" s="86">
        <f>1947727+2944626+1698576</f>
        <v>6590929</v>
      </c>
    </row>
    <row r="378" spans="1:11" ht="15">
      <c r="A378" s="155" t="s">
        <v>245</v>
      </c>
      <c r="B378" s="128" t="s">
        <v>246</v>
      </c>
      <c r="C378" s="90">
        <f t="shared" si="161"/>
        <v>8536000</v>
      </c>
      <c r="D378" s="90">
        <f>F378+48258</f>
        <v>5482000</v>
      </c>
      <c r="E378" s="79">
        <v>8536000</v>
      </c>
      <c r="F378" s="79">
        <f>5482000-48258</f>
        <v>5433742</v>
      </c>
      <c r="G378" s="79">
        <v>4140685</v>
      </c>
      <c r="H378" s="79">
        <f>G378</f>
        <v>4140685</v>
      </c>
      <c r="I378" s="79">
        <v>4140685</v>
      </c>
      <c r="J378" s="137">
        <f>G378-I378</f>
        <v>0</v>
      </c>
      <c r="K378" s="86">
        <v>6389</v>
      </c>
    </row>
    <row r="379" spans="1:11" ht="24">
      <c r="A379" s="165" t="s">
        <v>247</v>
      </c>
      <c r="B379" s="127" t="s">
        <v>248</v>
      </c>
      <c r="C379" s="23"/>
      <c r="D379" s="72">
        <f>D380</f>
        <v>0</v>
      </c>
      <c r="E379" s="72">
        <f t="shared" ref="E379:K379" si="162">E380</f>
        <v>0</v>
      </c>
      <c r="F379" s="72">
        <f t="shared" si="162"/>
        <v>0</v>
      </c>
      <c r="G379" s="72">
        <f t="shared" si="162"/>
        <v>0</v>
      </c>
      <c r="H379" s="72">
        <f t="shared" si="162"/>
        <v>0</v>
      </c>
      <c r="I379" s="72">
        <f t="shared" si="162"/>
        <v>0</v>
      </c>
      <c r="J379" s="72">
        <f t="shared" si="162"/>
        <v>0</v>
      </c>
      <c r="K379" s="121">
        <f t="shared" si="162"/>
        <v>0</v>
      </c>
    </row>
    <row r="380" spans="1:11" ht="15">
      <c r="A380" s="155" t="s">
        <v>249</v>
      </c>
      <c r="B380" s="128" t="s">
        <v>250</v>
      </c>
      <c r="C380" s="26"/>
      <c r="D380" s="90"/>
      <c r="E380" s="79"/>
      <c r="F380" s="79"/>
      <c r="G380" s="79"/>
      <c r="H380" s="90">
        <f>G380</f>
        <v>0</v>
      </c>
      <c r="I380" s="79"/>
      <c r="J380" s="79">
        <f>G380-I380</f>
        <v>0</v>
      </c>
      <c r="K380" s="86"/>
    </row>
    <row r="381" spans="1:11" ht="24">
      <c r="A381" s="155" t="s">
        <v>251</v>
      </c>
      <c r="B381" s="128" t="s">
        <v>252</v>
      </c>
      <c r="C381" s="90">
        <f>E381</f>
        <v>13556500</v>
      </c>
      <c r="D381" s="90">
        <f>F381</f>
        <v>10992242</v>
      </c>
      <c r="E381" s="79">
        <v>13556500</v>
      </c>
      <c r="F381" s="79">
        <v>10992242</v>
      </c>
      <c r="G381" s="79">
        <v>8605207</v>
      </c>
      <c r="H381" s="79">
        <f>G381</f>
        <v>8605207</v>
      </c>
      <c r="I381" s="79">
        <v>8605207</v>
      </c>
      <c r="J381" s="137">
        <f>H381-I381</f>
        <v>0</v>
      </c>
      <c r="K381" s="86">
        <v>4111828</v>
      </c>
    </row>
    <row r="382" spans="1:11" ht="36" hidden="1">
      <c r="A382" s="153" t="s">
        <v>317</v>
      </c>
      <c r="B382" s="126" t="s">
        <v>254</v>
      </c>
      <c r="C382" s="132"/>
      <c r="D382" s="70">
        <f>D383+D384+D385+D386+D387</f>
        <v>0</v>
      </c>
      <c r="E382" s="70">
        <f t="shared" ref="E382:J382" si="163">E383+E384+E385+E386+E387</f>
        <v>0</v>
      </c>
      <c r="F382" s="70">
        <f t="shared" si="163"/>
        <v>0</v>
      </c>
      <c r="G382" s="70">
        <f t="shared" si="163"/>
        <v>0</v>
      </c>
      <c r="H382" s="70">
        <f t="shared" si="163"/>
        <v>0</v>
      </c>
      <c r="I382" s="70">
        <f t="shared" si="163"/>
        <v>0</v>
      </c>
      <c r="J382" s="70">
        <f t="shared" si="163"/>
        <v>0</v>
      </c>
      <c r="K382" s="122">
        <f>K383+K384+K385+K386+K387</f>
        <v>0</v>
      </c>
    </row>
    <row r="383" spans="1:11" ht="24" hidden="1">
      <c r="A383" s="155" t="s">
        <v>255</v>
      </c>
      <c r="B383" s="128" t="s">
        <v>256</v>
      </c>
      <c r="C383" s="90"/>
      <c r="D383" s="90"/>
      <c r="E383" s="79"/>
      <c r="F383" s="105"/>
      <c r="G383" s="79"/>
      <c r="H383" s="90"/>
      <c r="I383" s="79"/>
      <c r="J383" s="79">
        <f>G383-I383</f>
        <v>0</v>
      </c>
      <c r="K383" s="86"/>
    </row>
    <row r="384" spans="1:11" ht="15" hidden="1">
      <c r="A384" s="155" t="s">
        <v>257</v>
      </c>
      <c r="B384" s="128" t="s">
        <v>258</v>
      </c>
      <c r="C384" s="26"/>
      <c r="D384" s="90"/>
      <c r="E384" s="79"/>
      <c r="F384" s="105"/>
      <c r="G384" s="79"/>
      <c r="H384" s="90"/>
      <c r="I384" s="79"/>
      <c r="J384" s="79">
        <f>G384-I384</f>
        <v>0</v>
      </c>
      <c r="K384" s="86"/>
    </row>
    <row r="385" spans="1:11" ht="15" hidden="1">
      <c r="A385" s="155" t="s">
        <v>259</v>
      </c>
      <c r="B385" s="128" t="s">
        <v>260</v>
      </c>
      <c r="C385" s="26"/>
      <c r="D385" s="90"/>
      <c r="E385" s="79"/>
      <c r="F385" s="105"/>
      <c r="G385" s="79"/>
      <c r="H385" s="90"/>
      <c r="I385" s="79"/>
      <c r="J385" s="79">
        <f>G385-I385</f>
        <v>0</v>
      </c>
      <c r="K385" s="86"/>
    </row>
    <row r="386" spans="1:11" ht="24" hidden="1">
      <c r="A386" s="155" t="s">
        <v>296</v>
      </c>
      <c r="B386" s="128" t="s">
        <v>262</v>
      </c>
      <c r="C386" s="26"/>
      <c r="D386" s="90"/>
      <c r="E386" s="79"/>
      <c r="F386" s="79"/>
      <c r="G386" s="79"/>
      <c r="H386" s="90"/>
      <c r="I386" s="79"/>
      <c r="J386" s="79">
        <f>G386-I386</f>
        <v>0</v>
      </c>
      <c r="K386" s="86"/>
    </row>
    <row r="387" spans="1:11" ht="15" hidden="1">
      <c r="A387" s="155" t="s">
        <v>263</v>
      </c>
      <c r="B387" s="128" t="s">
        <v>264</v>
      </c>
      <c r="C387" s="26"/>
      <c r="D387" s="90"/>
      <c r="E387" s="79"/>
      <c r="F387" s="105"/>
      <c r="G387" s="79"/>
      <c r="H387" s="90"/>
      <c r="I387" s="79"/>
      <c r="J387" s="79">
        <f>G387-I387</f>
        <v>0</v>
      </c>
      <c r="K387" s="86"/>
    </row>
    <row r="388" spans="1:11" ht="24" hidden="1">
      <c r="A388" s="152" t="s">
        <v>297</v>
      </c>
      <c r="B388" s="167" t="s">
        <v>266</v>
      </c>
      <c r="C388" s="17"/>
      <c r="D388" s="133"/>
      <c r="E388" s="134"/>
      <c r="F388" s="134"/>
      <c r="G388" s="134"/>
      <c r="H388" s="133"/>
      <c r="I388" s="134"/>
      <c r="J388" s="135"/>
      <c r="K388" s="136"/>
    </row>
    <row r="389" spans="1:11" ht="15" hidden="1">
      <c r="A389" s="159" t="s">
        <v>298</v>
      </c>
      <c r="B389" s="170" t="s">
        <v>268</v>
      </c>
      <c r="C389" s="56"/>
      <c r="D389" s="92"/>
      <c r="E389" s="92"/>
      <c r="F389" s="92"/>
      <c r="G389" s="92"/>
      <c r="H389" s="90"/>
      <c r="I389" s="79"/>
      <c r="J389" s="137"/>
      <c r="K389" s="86"/>
    </row>
    <row r="390" spans="1:11" ht="15.75" hidden="1" thickBot="1">
      <c r="A390" s="162" t="s">
        <v>329</v>
      </c>
      <c r="B390" s="174" t="s">
        <v>269</v>
      </c>
      <c r="C390" s="109"/>
      <c r="D390" s="138"/>
      <c r="E390" s="138"/>
      <c r="F390" s="138"/>
      <c r="G390" s="138"/>
      <c r="H390" s="139"/>
      <c r="I390" s="140"/>
      <c r="J390" s="141"/>
      <c r="K390" s="142"/>
    </row>
    <row r="391" spans="1:11">
      <c r="B391" s="1"/>
      <c r="C391" s="1"/>
      <c r="D391" s="1"/>
      <c r="E391" s="1"/>
      <c r="F391" s="144"/>
      <c r="G391" s="1"/>
      <c r="H391" s="1"/>
      <c r="I391" s="1"/>
      <c r="J391" s="1"/>
      <c r="K391" s="1"/>
    </row>
    <row r="392" spans="1:11">
      <c r="A392" s="145"/>
      <c r="B392" s="146"/>
      <c r="C392" s="147" t="s">
        <v>318</v>
      </c>
      <c r="D392" s="1"/>
      <c r="E392" s="1"/>
      <c r="F392" s="2" t="s">
        <v>319</v>
      </c>
      <c r="G392" s="2"/>
      <c r="H392" s="2"/>
      <c r="I392" s="2"/>
      <c r="J392" s="193" t="s">
        <v>320</v>
      </c>
      <c r="K392" s="193"/>
    </row>
    <row r="393" spans="1:11">
      <c r="A393" s="148"/>
      <c r="B393" s="194" t="s">
        <v>321</v>
      </c>
      <c r="C393" s="194"/>
      <c r="D393" s="1"/>
      <c r="E393" s="1"/>
      <c r="F393" s="2" t="s">
        <v>322</v>
      </c>
      <c r="G393" s="149"/>
      <c r="H393" s="149"/>
      <c r="I393" s="149"/>
      <c r="J393" s="194" t="s">
        <v>323</v>
      </c>
      <c r="K393" s="194"/>
    </row>
    <row r="394" spans="1:11">
      <c r="B394" s="1"/>
      <c r="C394" s="1"/>
      <c r="D394" s="1"/>
      <c r="E394" s="1"/>
      <c r="F394" s="144"/>
      <c r="G394" s="1"/>
      <c r="H394" s="1"/>
      <c r="I394" s="1"/>
      <c r="J394" s="1"/>
      <c r="K394" s="1"/>
    </row>
    <row r="396" spans="1:11" ht="28.5">
      <c r="D396" s="205" t="s">
        <v>334</v>
      </c>
    </row>
    <row r="397" spans="1:11" ht="28.5">
      <c r="C397" s="205" t="s">
        <v>335</v>
      </c>
      <c r="D397" s="205" t="s">
        <v>336</v>
      </c>
    </row>
  </sheetData>
  <mergeCells count="18">
    <mergeCell ref="J392:K392"/>
    <mergeCell ref="B393:C393"/>
    <mergeCell ref="J393:K393"/>
    <mergeCell ref="A4:K5"/>
    <mergeCell ref="A2:B2"/>
    <mergeCell ref="A3:B3"/>
    <mergeCell ref="H9:H10"/>
    <mergeCell ref="I9:I10"/>
    <mergeCell ref="J9:J10"/>
    <mergeCell ref="K9:K10"/>
    <mergeCell ref="A9:A10"/>
    <mergeCell ref="B9:B10"/>
    <mergeCell ref="C9:C10"/>
    <mergeCell ref="D9:D10"/>
    <mergeCell ref="E9:E10"/>
    <mergeCell ref="F9:F10"/>
    <mergeCell ref="G9:G10"/>
    <mergeCell ref="I1:K1"/>
  </mergeCells>
  <pageMargins left="0" right="0" top="0.47" bottom="0.34" header="0.53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</vt:lpstr>
      <vt:lpstr>'A2'!Print_Area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2023-05-09T11:05:24Z</cp:lastPrinted>
  <dcterms:created xsi:type="dcterms:W3CDTF">2023-03-07T09:11:45Z</dcterms:created>
  <dcterms:modified xsi:type="dcterms:W3CDTF">2023-06-07T06:20:00Z</dcterms:modified>
</cp:coreProperties>
</file>